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1 квартал" sheetId="1" state="visible" r:id="rId2"/>
    <sheet name="2 квартал" sheetId="2" state="visible" r:id="rId3"/>
    <sheet name="3 квартал" sheetId="3" state="visible" r:id="rId4"/>
    <sheet name="4 квартал" sheetId="4" state="visible" r:id="rId5"/>
  </sheets>
  <definedNames>
    <definedName function="false" hidden="true" localSheetId="0" name="_xlnm._FilterDatabase" vbProcedure="false">'1 квартал'!$A$3:$I$404</definedName>
    <definedName function="false" hidden="true" localSheetId="1" name="_xlnm._FilterDatabase" vbProcedure="false">'2 квартал'!$A$4:$I$4</definedName>
    <definedName function="false" hidden="true" localSheetId="2" name="_xlnm._FilterDatabase" vbProcedure="false">'3 квартал'!$A$4:$I$4</definedName>
    <definedName function="false" hidden="true" localSheetId="3" name="_xlnm._FilterDatabase" vbProcedure="false">'4 квартал'!$A$4:$I$4</definedName>
    <definedName function="false" hidden="false" localSheetId="2" name="_xlnm._FilterDatabase" vbProcedure="false">'3 квартал'!$A$4:$I$87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<sst xmlns="http://schemas.openxmlformats.org/spreadsheetml/2006/main" count="5182" uniqueCount="1990">
  <si>
    <t xml:space="preserve">Інформація про закупівлі до 50 тис.грн. за І квартал 2021 року по Виконавчому комітету Покровської міської ради Дніпропетровської області</t>
  </si>
  <si>
    <t xml:space="preserve">Дата</t>
  </si>
  <si>
    <t xml:space="preserve">Ідентифікатор тендера</t>
  </si>
  <si>
    <t xml:space="preserve">Тендер</t>
  </si>
  <si>
    <t xml:space="preserve">Код CPV</t>
  </si>
  <si>
    <t xml:space="preserve">Організатор</t>
  </si>
  <si>
    <t xml:space="preserve">Код організатора</t>
  </si>
  <si>
    <t xml:space="preserve">Постачальник</t>
  </si>
  <si>
    <t xml:space="preserve">Код постачальника</t>
  </si>
  <si>
    <t xml:space="preserve">Сума переможних пропозицій</t>
  </si>
  <si>
    <t xml:space="preserve">Постери на папері</t>
  </si>
  <si>
    <t xml:space="preserve">22462000-6 Рекламні матеріали</t>
  </si>
  <si>
    <t xml:space="preserve">Виконавчий комітет Покровської міської ради Дніпропетровської області</t>
  </si>
  <si>
    <t xml:space="preserve">04052212</t>
  </si>
  <si>
    <t xml:space="preserve">ФОП КВІТКЕВИЧ СЕРГІЙ СЕРГІЙОВИЧ</t>
  </si>
  <si>
    <t xml:space="preserve">3263916570</t>
  </si>
  <si>
    <t xml:space="preserve">22460000-2 Рекламні матеріали, каталоги товарів та посібники</t>
  </si>
  <si>
    <t xml:space="preserve">Маски захисні одноразові</t>
  </si>
  <si>
    <t xml:space="preserve">18420000-9 Аксесуари для одягу</t>
  </si>
  <si>
    <t xml:space="preserve">ТОВАРИСТВО З ОБМЕЖЕНОЮ ВІДПОВІДАЛЬНІСТЮ "АЛЮР"</t>
  </si>
  <si>
    <t xml:space="preserve">19097605</t>
  </si>
  <si>
    <t xml:space="preserve">Шафа підлогова Mirsan</t>
  </si>
  <si>
    <t xml:space="preserve">32540000-0 Комутаційні щити</t>
  </si>
  <si>
    <t xml:space="preserve">ТОВАРИСТВО З ОБМЕЖЕНОЮ ВІДПОВІДАЛЬНІСТЮ "МІКРОТРОН"</t>
  </si>
  <si>
    <t xml:space="preserve">40016854</t>
  </si>
  <si>
    <t xml:space="preserve">Господарські матеріали</t>
  </si>
  <si>
    <t xml:space="preserve">44110000-4 Конструкційні матеріали</t>
  </si>
  <si>
    <t xml:space="preserve">ФОП ВЕРИЧ АНАСТАСІЯ ВОЛОДИМИРІВНА</t>
  </si>
  <si>
    <t xml:space="preserve">3255311824</t>
  </si>
  <si>
    <t xml:space="preserve">Принтер наклейок та картридж зі стрічкою</t>
  </si>
  <si>
    <t xml:space="preserve">30174000-9 Принтери для друку етикеток;30175000-6 Маркувальне обладнання</t>
  </si>
  <si>
    <t xml:space="preserve">ТОВАРИСТВО З ОБМЕЖЕНОЮ ВІДПОВІДАЛЬНІСТЮ "МАГАЗИН ПОЗИТИВ"</t>
  </si>
  <si>
    <t xml:space="preserve">40989803</t>
  </si>
  <si>
    <t xml:space="preserve">Медалі</t>
  </si>
  <si>
    <t xml:space="preserve">18530000-3 Подарунки та нагороди</t>
  </si>
  <si>
    <t xml:space="preserve">ФОП ТРУФАНОВ ВЯЧЕСЛАВ МИКОЛАЙОВИЧ</t>
  </si>
  <si>
    <t xml:space="preserve">2209600675</t>
  </si>
  <si>
    <t xml:space="preserve">Джерело безперебійного живлення</t>
  </si>
  <si>
    <t xml:space="preserve">31154000-0 Джерела безперебійного живлення</t>
  </si>
  <si>
    <t xml:space="preserve">ТОВ "Мікротрон"</t>
  </si>
  <si>
    <t xml:space="preserve">Постери та листівки</t>
  </si>
  <si>
    <t xml:space="preserve">Надання послуг з технічного обслуговування системи газопостачання та газового обладнання</t>
  </si>
  <si>
    <t xml:space="preserve">50531200-8 Послуги з технічного обслуговування газових приладів</t>
  </si>
  <si>
    <t xml:space="preserve">АКЦІОНЕРНЕ ТОВАРИСТВО "ОПЕРАТОР ГАЗОРОЗПОДІЛЬНОЇ СИСТЕМИ "ДНІПРОПЕТРОВСЬКГАЗ"</t>
  </si>
  <si>
    <t xml:space="preserve">03340920</t>
  </si>
  <si>
    <t xml:space="preserve">Меблі офісні</t>
  </si>
  <si>
    <t xml:space="preserve">39150000-8 Меблі та приспособи різні</t>
  </si>
  <si>
    <t xml:space="preserve">ФОП КУПРІЯНОВ ВОЛОДИМИР ДМИТРОВИЧ</t>
  </si>
  <si>
    <t xml:space="preserve">2100911637</t>
  </si>
  <si>
    <t xml:space="preserve">Послуги з реєстрації Замовника як користувача в системі програмного Продукту "АІС "Місцеві бюджети рівня розпорядника бюджетних коштів"</t>
  </si>
  <si>
    <t xml:space="preserve">72260000-5 Послуги, пов’язані з програмним забезпеченням</t>
  </si>
  <si>
    <t xml:space="preserve">ФОП ІВАНОВ СЕРГІЙ ІВАНОВИЧ</t>
  </si>
  <si>
    <t xml:space="preserve">2197300354</t>
  </si>
  <si>
    <t xml:space="preserve">33710000-0 Парфуми, засоби гігієни та презервативи</t>
  </si>
  <si>
    <t xml:space="preserve">Ліцензія на право користування програмним забезпеченням VMware vSphere 7 Essentials Kit for 3 hosts (Max 2 processors per host) (VS7-ESSL-KIT-C)</t>
  </si>
  <si>
    <t xml:space="preserve">48730000-4 Пакети програмного забезпечення для забезпечення безпеки</t>
  </si>
  <si>
    <t xml:space="preserve">ТОВ «ВАЙЗ АЙ ТІ»</t>
  </si>
  <si>
    <t xml:space="preserve">39427231</t>
  </si>
  <si>
    <t xml:space="preserve">Послуги з розробки проекту землеустрою  щодо відведення земельної ділянки  для передачі в оренду орієнтовною площею 0,0307 га, яка розташована по вул. Героїв України, 2б, м. Покров Дніпропетровської області</t>
  </si>
  <si>
    <t xml:space="preserve">71250000-5 Архітектурні, інженерні та геодезичні послуги</t>
  </si>
  <si>
    <t xml:space="preserve">ФОП ШЕВЧЕНКО АННА ЮРІЇВНА</t>
  </si>
  <si>
    <t xml:space="preserve">3296617787</t>
  </si>
  <si>
    <t xml:space="preserve">Поточний ремонт будівлі сільської ради з заміною вхідних дверей за адресою: Дніпропетровська область, Нікопольський р-н, с. Шолохове, вул. Центральна, 14</t>
  </si>
  <si>
    <t xml:space="preserve">45450000-6 Інші завершальні будівельні роботи</t>
  </si>
  <si>
    <t xml:space="preserve">ФОП КОВТУН ВАСИЛЬ ЯКОВИЧ</t>
  </si>
  <si>
    <t xml:space="preserve">2053613519</t>
  </si>
  <si>
    <t xml:space="preserve">Рамки 21*30</t>
  </si>
  <si>
    <t xml:space="preserve">39298100-8 Рамки для фотографій</t>
  </si>
  <si>
    <t xml:space="preserve">ФОП СМОЛЯНЕЦЬ ОЛЕНА ОЛЕКСІЇВНА</t>
  </si>
  <si>
    <t xml:space="preserve">2628414924</t>
  </si>
  <si>
    <t xml:space="preserve">Обов'язкове страхування цивільно-правової відповідальності власників наземних транспортних засобів</t>
  </si>
  <si>
    <t xml:space="preserve">66510000-8 Страхові послуги</t>
  </si>
  <si>
    <t xml:space="preserve">ПРИВАТНЕ АКЦІОНЕРНЕ ТОВАРИСТВО "СТРАХОВА КОМПАНІЯ "ПЗУ УКРАЇНА"</t>
  </si>
  <si>
    <t xml:space="preserve">20782312</t>
  </si>
  <si>
    <t xml:space="preserve">Послуги з висвітлення діяльності виконавчого комітету Покровської міської ради Дніпропетровської області на радіо в новинах</t>
  </si>
  <si>
    <t xml:space="preserve">92210000-6 Послуги радіомовлення</t>
  </si>
  <si>
    <t xml:space="preserve">ТОВАРИСТВО З ОБМЕЖЕНОЮ ВІДПОВІДАЛЬНІСТЮ "ВИРОБНИЧО-КОМЕРЦІЙНА ФІРМА ТЕЛЕРАДІОКОМПАНІЯ "ТТ"</t>
  </si>
  <si>
    <t xml:space="preserve">13431994</t>
  </si>
  <si>
    <t xml:space="preserve">Жалюзі горизонтальні</t>
  </si>
  <si>
    <t xml:space="preserve">44115900-8 Сонцезахисні пристрої</t>
  </si>
  <si>
    <t xml:space="preserve">ФОП ЗАЛЯН ЮЛІЯ МИКОЛАЇВНА</t>
  </si>
  <si>
    <t xml:space="preserve">2715705886</t>
  </si>
  <si>
    <t xml:space="preserve">Послуги з розробки проекту землеустрою  щодо відведення земельної ділянки  для передачі в оренду орієнтовною площею 0,9200 га, яка розташована по вул. Тикви Григорія, 3-а, м. Покров Дніпропетровської області</t>
  </si>
  <si>
    <t xml:space="preserve">18140000-2 Аксесуари до робочого одягу</t>
  </si>
  <si>
    <t xml:space="preserve">24910000-6 Клеї</t>
  </si>
  <si>
    <t xml:space="preserve">Комп'ютерне обладнання</t>
  </si>
  <si>
    <t xml:space="preserve">30233100-2 Комп’ютерні запам’ятовувальні пристрої;30236100-3 Пристрої для розширення об’єму пам’яті</t>
  </si>
  <si>
    <t xml:space="preserve">Фізична особа – підприємець  Рубець Ганна Вікторівна</t>
  </si>
  <si>
    <t xml:space="preserve">3233707280</t>
  </si>
  <si>
    <t xml:space="preserve">Виконання послуги з планово технічного обслуговування  (далі - ПТО) або технічного обслуговування за заявкою Замовника (далі - ТОЗ) газовикористовувального обладнання (опалювального котла; проточного водонагрівача) встановленого за адресою: Нікопольський р-н, с.Шолохове, вул.Центральна, б14 (адмінбудівля).</t>
  </si>
  <si>
    <t xml:space="preserve">50531100-7 Послуги з ремонту і технічного обслуговування котлів</t>
  </si>
  <si>
    <t xml:space="preserve">ФОП ЯКИМЕЦЬ ВІРА ПЕТРІВНА</t>
  </si>
  <si>
    <t xml:space="preserve">2784904424</t>
  </si>
  <si>
    <t xml:space="preserve">Запасні частини для сантехніки та освітлювальних приладів</t>
  </si>
  <si>
    <t xml:space="preserve">31524100-6 Настельна освітлювальна арматура</t>
  </si>
  <si>
    <t xml:space="preserve">ФОП ГОЛЯДИНЕЦЬ ОЛЕКСАНДР ВАСИЛЬОВИЧ</t>
  </si>
  <si>
    <t xml:space="preserve">2905106693</t>
  </si>
  <si>
    <t xml:space="preserve">Господарські  товари та миючі засоби</t>
  </si>
  <si>
    <t xml:space="preserve">19640000-4 Поліетиленові мішки та пакети для сміття</t>
  </si>
  <si>
    <t xml:space="preserve">ФОП АЛЕКСАНДРОВА АЛІСА ОЛЕГІВНА</t>
  </si>
  <si>
    <t xml:space="preserve">3335907148</t>
  </si>
  <si>
    <t xml:space="preserve">Телекомунікаційні послуги</t>
  </si>
  <si>
    <t xml:space="preserve">72410000-7 Послуги провайдерів</t>
  </si>
  <si>
    <t xml:space="preserve">ПРИВАТНЕ АКЦІОНЕРНЕ ТОВАРИСТВО "КИЇВСТАР"</t>
  </si>
  <si>
    <t xml:space="preserve">21673832</t>
  </si>
  <si>
    <t xml:space="preserve">44520000-1 Замки, ключі та петлі</t>
  </si>
  <si>
    <t xml:space="preserve">Мережеве обладнання</t>
  </si>
  <si>
    <t xml:space="preserve">32422000-7 Мережеві компоненти;32421000-0 Мережеві кабелі</t>
  </si>
  <si>
    <t xml:space="preserve">ТОВАРИСТВО З ОБМЕЖЕНОЮ ВІДПОВІДАЛЬНІСТЮ "ОСТРОВ-ТЕЛЕКОМ"</t>
  </si>
  <si>
    <t xml:space="preserve">37081394</t>
  </si>
  <si>
    <t xml:space="preserve">Послуги з розробки проекту землеустрою щодо відведення земельної ділянки для передачі в оренду орієнтовною площею 0,7000 га, яка розташована по вул. Заводська, 4, м. Покров Дніпропетровської області</t>
  </si>
  <si>
    <t xml:space="preserve">ТОВАРИСТВО З ОБМЕЖЕНОЮ ВІДПОВІДАЛЬНІСТЮ "НОВІ ТЕХНОЛОГІЇ-1"</t>
  </si>
  <si>
    <t xml:space="preserve">41963063</t>
  </si>
  <si>
    <t xml:space="preserve">Централізоване водовідведення</t>
  </si>
  <si>
    <t xml:space="preserve">90430000-0 Послуги з відведення стічних вод</t>
  </si>
  <si>
    <t xml:space="preserve">МІСЬКЕ КОМУНАЛЬНЕ ПІДПРИЄМСТВО "ПОКРОВСЬКЕ ВИРОБНИЧЕ УПРАВЛІННЯ ВОДОПРОВІДНО-КАНАЛІЗАЦІЙНОГО ГОСПОДАРСТВА"</t>
  </si>
  <si>
    <t xml:space="preserve">03341351</t>
  </si>
  <si>
    <t xml:space="preserve">Послуги з постійного доступу до мережі інтернет на площі ім.Сірка</t>
  </si>
  <si>
    <t xml:space="preserve">72411000-4 Постачальники Інтернет-послуг</t>
  </si>
  <si>
    <t xml:space="preserve">ФОП ТОЛСТУНОВ ВОЛОДИМИР ОЛЕКСІЙОВИЧ</t>
  </si>
  <si>
    <t xml:space="preserve">2462506970</t>
  </si>
  <si>
    <t xml:space="preserve">44510000-8 Знаряддя</t>
  </si>
  <si>
    <t xml:space="preserve">ФОП СОПОВА ГАЛИНА ПЕТРІВНА</t>
  </si>
  <si>
    <t xml:space="preserve">1934305488</t>
  </si>
  <si>
    <t xml:space="preserve">32421000-0 Мережеві кабелі;32422000-7 Мережеві компоненти</t>
  </si>
  <si>
    <t xml:space="preserve">44410000-7 Вироби для ванної кімнати та кухні</t>
  </si>
  <si>
    <t xml:space="preserve">Господарські товари та миючі засоби</t>
  </si>
  <si>
    <t xml:space="preserve">39224300-1 Мітли, щітки та інше прибиральне приладдя</t>
  </si>
  <si>
    <t xml:space="preserve">44810000-1 Фарби</t>
  </si>
  <si>
    <t xml:space="preserve">Канцелярські книги та бланки</t>
  </si>
  <si>
    <t xml:space="preserve">30190000-7 Офісне устаткування та приладдя різне</t>
  </si>
  <si>
    <t xml:space="preserve">ФОП ФАТЄЄВА КАТЕРИНА СЕРГІЇВНА</t>
  </si>
  <si>
    <t xml:space="preserve">3148813449</t>
  </si>
  <si>
    <t xml:space="preserve">44530000-4 Кріпильні деталі</t>
  </si>
  <si>
    <t xml:space="preserve">ФОП Верич А.В.</t>
  </si>
  <si>
    <t xml:space="preserve">Охорона майна Замовника на об'єкті та обслуговування сигналізації на цьому об'єкті</t>
  </si>
  <si>
    <t xml:space="preserve">79710000-4 Охоронні послуги</t>
  </si>
  <si>
    <t xml:space="preserve">УПРАВЛІННЯ ПОЛІЦІЇ ОХОРОНИ В ДНІПРОПЕТРОВСЬКІЙ ОБЛАСТІ</t>
  </si>
  <si>
    <t xml:space="preserve">40109168</t>
  </si>
  <si>
    <t xml:space="preserve">Витратні матеріали для принтерів</t>
  </si>
  <si>
    <t xml:space="preserve">30125100-2 Картриджі з тонером;30125000-1 Частини та приладдя до фотокопіювальних апаратів</t>
  </si>
  <si>
    <t xml:space="preserve">Комп’ютерне обладнання</t>
  </si>
  <si>
    <t xml:space="preserve">30230000-0 Комп’ютерне обладнання;30237400-3 Пристрої введення даних;30233100-2 Комп’ютерні запам’ятовувальні пристрої</t>
  </si>
  <si>
    <t xml:space="preserve">Поточний ремонт котла газового "ПРОСКУРІВ" в будівлі сільської ради за адресою: Дніпропетровська область, Нікопольський р-н, с Шолохове, вул. Центральна, 14 </t>
  </si>
  <si>
    <t xml:space="preserve">Процесор Intel Xeon та Радіатор Dell </t>
  </si>
  <si>
    <t xml:space="preserve">30213400-9 Центральні процесорні пристрої для персональних комп’ютерів</t>
  </si>
  <si>
    <t xml:space="preserve">ФОП Гордєєва А.М.</t>
  </si>
  <si>
    <t xml:space="preserve">3071810344</t>
  </si>
  <si>
    <t xml:space="preserve">31210000-1 Електрична апаратура для комутування та захисту електричних кіл</t>
  </si>
  <si>
    <t xml:space="preserve">Змішувач</t>
  </si>
  <si>
    <t xml:space="preserve">ФОП ГУБА ОЛЬГА МИКОЛАЇВНА</t>
  </si>
  <si>
    <t xml:space="preserve">2757205188</t>
  </si>
  <si>
    <t xml:space="preserve">Постери</t>
  </si>
  <si>
    <t xml:space="preserve">30213300-8 Настільні комп’ютери</t>
  </si>
  <si>
    <t xml:space="preserve">Поштові марки</t>
  </si>
  <si>
    <t xml:space="preserve">22410000-7 Марки</t>
  </si>
  <si>
    <t xml:space="preserve">АКЦІОНЕРНЕ ТОВАРИСТВО "УКРПОШТА"</t>
  </si>
  <si>
    <t xml:space="preserve">21560045</t>
  </si>
  <si>
    <t xml:space="preserve">Букет збірний</t>
  </si>
  <si>
    <t xml:space="preserve">03120000-8 Продукція рослинництва, у тому числі тепличного</t>
  </si>
  <si>
    <t xml:space="preserve">ПП ЖЕБРАКОВА ЛІЛІЯ ЄВГЕНІВНА</t>
  </si>
  <si>
    <t xml:space="preserve">2812210526</t>
  </si>
  <si>
    <t xml:space="preserve">Нагородні матеріали</t>
  </si>
  <si>
    <t xml:space="preserve">ФОП РЕВУКА НАТАЛІЯ МИКОЛАЇВНА</t>
  </si>
  <si>
    <t xml:space="preserve">2482911680</t>
  </si>
  <si>
    <t xml:space="preserve">39831600-2 Засоби для чищення туалету;39831200-8 Мийні засоби</t>
  </si>
  <si>
    <t xml:space="preserve">Програмне забезпечення</t>
  </si>
  <si>
    <t xml:space="preserve">48210000-3 Пакети мережевого програмного забезпечення</t>
  </si>
  <si>
    <t xml:space="preserve">Послуги з розподілу природного газу</t>
  </si>
  <si>
    <t xml:space="preserve">65210000-8 Розподіл газу</t>
  </si>
  <si>
    <t xml:space="preserve">Надання транспортних послуг з автобусного перевезення спортсменів м. Покров для участі у Чемпіонаті Дніпропетровської області з Тайкан ММА (у кількості 36 осіб) до м. Нікополь.</t>
  </si>
  <si>
    <t xml:space="preserve">60140000-1 Нерегулярні пасажирські перевезення</t>
  </si>
  <si>
    <t xml:space="preserve">ФОП ЕСАУЛОВ ОЛЕКСАНДР ЛЕОНІДОВИЧ</t>
  </si>
  <si>
    <t xml:space="preserve">2359113957</t>
  </si>
  <si>
    <t xml:space="preserve">Улаштування трифазного вузла обліку електроенергії електроустановок</t>
  </si>
  <si>
    <t xml:space="preserve">65320000-2 Експлуатація електричних установок</t>
  </si>
  <si>
    <t xml:space="preserve">АКЦІОНЕРНЕ ТОВАРИСТВО "ДТЕК ДНІПРОВСЬКІ ЕЛЕКТРОМЕРЕЖІ"</t>
  </si>
  <si>
    <t xml:space="preserve">23359034</t>
  </si>
  <si>
    <t xml:space="preserve">33711900-6 Мило</t>
  </si>
  <si>
    <t xml:space="preserve">Централізоване водопостачання</t>
  </si>
  <si>
    <t xml:space="preserve">65111000-4 Розподіл питної води</t>
  </si>
  <si>
    <t xml:space="preserve">Послуги з поводження з побутовими відходами в частині вивезення та захоронення твердих побутових відходів</t>
  </si>
  <si>
    <t xml:space="preserve">90510000-5 Утилізація/видалення сміття та поводження зі сміттям</t>
  </si>
  <si>
    <t xml:space="preserve">ТОВАРИСТВО З ДОДАТКОВОЮ ВІДПОВІДАЛЬНІСТЮ "ДНІПРОКОМУНТРАНС"</t>
  </si>
  <si>
    <t xml:space="preserve">02128158</t>
  </si>
  <si>
    <t xml:space="preserve">Поточний ремонт — монтаж натяжної стелі в приміщенні будівлі виконкому по вул. Центральна, 48 м. Покров Дніпропетровської області</t>
  </si>
  <si>
    <t xml:space="preserve">45451100-4 Оздоблювальні роботи</t>
  </si>
  <si>
    <t xml:space="preserve">КОВТУН ВАСИЛЬ ЯКОВИЧ</t>
  </si>
  <si>
    <t xml:space="preserve">Послуги з передавання даних і повідомлень (телекомунікаційні послуги)</t>
  </si>
  <si>
    <t xml:space="preserve">64210000-1 Послуги телефонного зв’язку та передачі даних</t>
  </si>
  <si>
    <t xml:space="preserve">ПУБЛІЧНЕ АКЦІОНЕРНЕ ТОВАРИСТВО "УКРТЕЛЕКОМ"</t>
  </si>
  <si>
    <t xml:space="preserve">21560766</t>
  </si>
  <si>
    <t xml:space="preserve">Страхування майнових інтересів Страхувальника, які виступають об'єктом страхування, пов'язаних з життям, здоров'ям та/або працездатністю Застрахованих осіб</t>
  </si>
  <si>
    <t xml:space="preserve">39220000-0 Кухонне приладдя, товари для дому та господарства і приладдя для закладів громадського харчування</t>
  </si>
  <si>
    <t xml:space="preserve">31410000-3 Гальванічні елементи</t>
  </si>
  <si>
    <t xml:space="preserve">44920000-5 Вапняк, гіпс і крейда</t>
  </si>
  <si>
    <t xml:space="preserve">39811100-1 Освіжувачі повітря</t>
  </si>
  <si>
    <t xml:space="preserve">Інформація про закупівлі до 50 тис.грн. за ІІ квартал 2021 року по Виконавчому комітету Покровської міської ради Дніпропетровської області</t>
  </si>
  <si>
    <t xml:space="preserve">24450000-3 Агрохімічна продукція</t>
  </si>
  <si>
    <t xml:space="preserve">Картриджі Canon 725</t>
  </si>
  <si>
    <t xml:space="preserve">30120000-6 Фотокопіювальне та поліграфічне обладнання для офсетного друку</t>
  </si>
  <si>
    <t xml:space="preserve">ТОВ "СУМИ ТРАНС ЛОДЖИСТІК"</t>
  </si>
  <si>
    <t xml:space="preserve">37105383</t>
  </si>
  <si>
    <t xml:space="preserve">Подарунки (іграшки)</t>
  </si>
  <si>
    <t xml:space="preserve">37520000-9 Іграшки</t>
  </si>
  <si>
    <t xml:space="preserve">ФОП ХЛЄБНІКОВ ЮРІЙ ОЛЕКСІЙОВИЧ</t>
  </si>
  <si>
    <t xml:space="preserve">2784110675</t>
  </si>
  <si>
    <t xml:space="preserve">ПОСОХ ОЛЕНА МИКОЛАЇВНА</t>
  </si>
  <si>
    <t xml:space="preserve">2584718067</t>
  </si>
  <si>
    <t xml:space="preserve">КВІТКЕВИЧ СЕРГІЙ СЕРГІЙОВИЧ</t>
  </si>
  <si>
    <t xml:space="preserve">Нагородна продукція</t>
  </si>
  <si>
    <t xml:space="preserve">Фізична особа-підприємець ГАРІСТ ОЛЕГ ВОЛОДИМИРОВИЧ</t>
  </si>
  <si>
    <t xml:space="preserve">2402810598</t>
  </si>
  <si>
    <t xml:space="preserve">Тримісний диван Koln</t>
  </si>
  <si>
    <t xml:space="preserve">39110000-6 Сидіння, стільці та супутні вироби і частини до них</t>
  </si>
  <si>
    <t xml:space="preserve">ФОП "РАТУШНА ОКСАНА ВАЛЕНТИНІВНА"</t>
  </si>
  <si>
    <t xml:space="preserve">2826510362</t>
  </si>
  <si>
    <t xml:space="preserve">ФОП ПОСОХ ОЛЕНА МИКОЛАЇВНА</t>
  </si>
  <si>
    <t xml:space="preserve">39830000-9 Продукція для чищення</t>
  </si>
  <si>
    <t xml:space="preserve">Світлодіодна панель</t>
  </si>
  <si>
    <t xml:space="preserve">31530000-0 Частини до світильників та освітлювального обладнання</t>
  </si>
  <si>
    <t xml:space="preserve">ФОП ЖОВТОБРЮХ СЕРГІЙ МИКОЛАЙОВИЧ</t>
  </si>
  <si>
    <t xml:space="preserve">2787314872</t>
  </si>
  <si>
    <t xml:space="preserve">Комп’ютерне обладнання та бездротовий мікрофон </t>
  </si>
  <si>
    <t xml:space="preserve">ВЕРИЧ АНАСТАСІЯ ВОЛОДИМИРІВНА</t>
  </si>
  <si>
    <t xml:space="preserve">Постачання примірника та пакетів оновлень (компонент) комп'ютерної програми "М.Е.Doc" Модуль "Звітність" з правом використання на рік.</t>
  </si>
  <si>
    <t xml:space="preserve">48310000-4 Пакети програмного забезпечення для створення документів</t>
  </si>
  <si>
    <t xml:space="preserve">ФОП ГАЛУШКО ЮРІЙ ВОЛОДИМИРОВИЧ</t>
  </si>
  <si>
    <t xml:space="preserve">2818809399</t>
  </si>
  <si>
    <t xml:space="preserve">Іграшки</t>
  </si>
  <si>
    <t xml:space="preserve">АЛЕКСАНДРОВА АЛІСА ОЛЕГІВНА</t>
  </si>
  <si>
    <t xml:space="preserve">Кондиціонер настінний з установкою</t>
  </si>
  <si>
    <t xml:space="preserve">39710000-2 Електричні побутові прилади</t>
  </si>
  <si>
    <t xml:space="preserve">ФОП Ланчуковський Сергій Павлович</t>
  </si>
  <si>
    <t xml:space="preserve">3113600595</t>
  </si>
  <si>
    <t xml:space="preserve">ЖЕБРАКОВА ЛІЛІЯ ЄВГЕНІВНА</t>
  </si>
  <si>
    <t xml:space="preserve">Шини автомобільні літні </t>
  </si>
  <si>
    <t xml:space="preserve">34351100-3 Автомобільні шини</t>
  </si>
  <si>
    <t xml:space="preserve">ФІЗИЧНА ОСОБА-ПІДПРИЄМЕЦЬ КОСЮК ПАВЛО ОЛЕКСАНДРОВИЧ</t>
  </si>
  <si>
    <t xml:space="preserve">2932618619</t>
  </si>
  <si>
    <t xml:space="preserve">Надання транспортних послуг з автобусного перевезення спортсменів КПНЗ "ДЮСШ ім. Д.Дідіка" м.Покров для участі у фіналі чемпіонату серед учнів дитячо-юнацьких спортивних шкіл, спортивних клубів з футболу у 2021 році серед юнаків 2009 - 2010 р.н. (у кількості 18 осіб) до м. Синельникове</t>
  </si>
  <si>
    <t xml:space="preserve">Послуги з організації утилізації відходів</t>
  </si>
  <si>
    <t xml:space="preserve">90520000-8 Послуги у сфері поводження з радіоактивними, токсичними, медичними та небезпечними відходами</t>
  </si>
  <si>
    <t xml:space="preserve">ТОВАРИСТВО З ОБМЕЖЕНОЮ ВІДПОВІДАЛЬНІСТЮ "ІМАР"</t>
  </si>
  <si>
    <t xml:space="preserve">32154593</t>
  </si>
  <si>
    <t xml:space="preserve">Експертна оцінка ринкової вартості нежитлової будівлі загальною площею 159,1 кв.м за адресою: Дніпропетровська обл, м. Покров, вул. Чехова, буд.№11а</t>
  </si>
  <si>
    <t xml:space="preserve">79310000-0 Послуги з проведення ринкових досліджень</t>
  </si>
  <si>
    <t xml:space="preserve">ТОВАРИСТВО З ОБМЕЖЕНОЮ ВІДПОВІДАЛЬНІСТЮ "ЕКСПЕРТНА ОЦІНКА МАЙНОВИХ ПРАВ"</t>
  </si>
  <si>
    <t xml:space="preserve">40770249</t>
  </si>
  <si>
    <t xml:space="preserve">31520000-7 Світильники та освітлювальна арматура</t>
  </si>
  <si>
    <t xml:space="preserve">Канцелярські товари та бланки</t>
  </si>
  <si>
    <t xml:space="preserve">22820000-4 Бланки</t>
  </si>
  <si>
    <t xml:space="preserve">Послуги з проведення лабораторних досліджень атмосферного повітря по вул. Айвазовського м. Покров Дніпропетровської області</t>
  </si>
  <si>
    <t xml:space="preserve">85145000-7 Послуги медичних лабораторій</t>
  </si>
  <si>
    <t xml:space="preserve">ВІДОКРЕМЛЕНИЙ СТРУКТУРНИЙ ПІДРОЗДІЛ "НІКОПОЛЬСЬКИЙ МІСЬКРАЙОННИЙ ВІДДІЛ ЛАБОРАТОРНИХ ДОСЛІДЖЕНЬ ДЕРЖАВНОЇ УСТАНОВИ "ДНІПРОПЕТРОВСЬКИЙ ОБЛАСНИЙ ЛАБОРАТОРНИЙ ЦЕНТР МІНІСТЕРСТВА ОХОРОНИ ЗДОРОВ'Я УКРАЇНИ"</t>
  </si>
  <si>
    <t xml:space="preserve">38529313</t>
  </si>
  <si>
    <t xml:space="preserve">Печатки та штамп на основі автомат</t>
  </si>
  <si>
    <t xml:space="preserve">ФОП КАЛІФА ВІТАЛІЙ СЕРГІЙОВИЧ</t>
  </si>
  <si>
    <t xml:space="preserve">2389808730</t>
  </si>
  <si>
    <t xml:space="preserve">Папки - подяки</t>
  </si>
  <si>
    <t xml:space="preserve">ТОВАРИСТВО З ОБМЕЖЕНОЮ ВІДПОВІДАЛЬНІСТЮ "ПРИНТХАУС "РИММ"</t>
  </si>
  <si>
    <t xml:space="preserve">38709919</t>
  </si>
  <si>
    <t xml:space="preserve">Солодкі подарункові набори</t>
  </si>
  <si>
    <t xml:space="preserve">15840000-8 Какао; шоколад та цукрові кондитерські вироби</t>
  </si>
  <si>
    <t xml:space="preserve">МЕЛЬНИК НЕЛЯ МИКОЛАЇВНА</t>
  </si>
  <si>
    <t xml:space="preserve">3029408328</t>
  </si>
  <si>
    <t xml:space="preserve">Мінеральна вода</t>
  </si>
  <si>
    <t xml:space="preserve">15980000-1 Безалкогольні напої</t>
  </si>
  <si>
    <t xml:space="preserve">Періодичні видання</t>
  </si>
  <si>
    <t xml:space="preserve">22210000-5 Газети</t>
  </si>
  <si>
    <t xml:space="preserve">ТОВАРИСТВО З ОБМЕЖЕНОЮ ВІДПОВІДАЛЬНІСТЮ "ВИДАВНИЧА ГРУПА "АС"</t>
  </si>
  <si>
    <t xml:space="preserve">38747378</t>
  </si>
  <si>
    <t xml:space="preserve">44830000-7 Мастики, шпаклівки, замазки та розчинники</t>
  </si>
  <si>
    <t xml:space="preserve">Карт-рідер безконтактний КР-382</t>
  </si>
  <si>
    <t xml:space="preserve">30140000-2 Лічильна та обчислювальна техніка</t>
  </si>
  <si>
    <t xml:space="preserve">ТОВАРИСТВО З ОБМЕЖЕНОЮ ВІДПОВІДАЛЬНІСТЮ "О-2"</t>
  </si>
  <si>
    <t xml:space="preserve">36376733</t>
  </si>
  <si>
    <t xml:space="preserve">Жалюзі вертикальні</t>
  </si>
  <si>
    <t xml:space="preserve">Світлодіодні лампи та панелі</t>
  </si>
  <si>
    <t xml:space="preserve">ЖОВТОБРЮХ СЕРГІЙ МИКОЛАЙОВИЧ</t>
  </si>
  <si>
    <t xml:space="preserve">Подяка на дошці </t>
  </si>
  <si>
    <t xml:space="preserve">22450000-9 Друкована продукція з елементами захисту</t>
  </si>
  <si>
    <t xml:space="preserve">ШПОНЬКА ОЛЕКСАНДР ПАВЛОВИЧ</t>
  </si>
  <si>
    <t xml:space="preserve">2241807173</t>
  </si>
  <si>
    <t xml:space="preserve">Транспортні послуги з автобусного перевезення спортсменів КПНЗ "ДЮСШ ім. Д. Дідіка" м. Покров для участі у змаганнях з футболу відкритої першості міста Нікополь серед дитячих команд (2007-2012 року народження) сезону 2020-2021 року до м. Нікополь</t>
  </si>
  <si>
    <t xml:space="preserve">Солодкі подарункові набори та мінеральна вода</t>
  </si>
  <si>
    <t xml:space="preserve">ФОП МАРТИНОВЧЕНКО ТЕТЯНА БОРИСІВНА</t>
  </si>
  <si>
    <t xml:space="preserve">2364501561</t>
  </si>
  <si>
    <t xml:space="preserve">Поточний ремонт службового автомобіля Opel Vectra державний №АЕ3707АХ</t>
  </si>
  <si>
    <t xml:space="preserve">50110000-9 Послуги з ремонту і технічного обслуговування мототранспортних засобів і супутнього обладнання</t>
  </si>
  <si>
    <t xml:space="preserve">ТОВАРИСТВО З ОБМЕЖЕНОЮ ВІДПОВІДАЛЬНІСТЮ "АВТО-АРТ ПЛЮС"</t>
  </si>
  <si>
    <t xml:space="preserve">38578795</t>
  </si>
  <si>
    <t xml:space="preserve">33760000-5 Туалетний папір, носові хустинки, рушники для рук і серветки</t>
  </si>
  <si>
    <t xml:space="preserve">Господарські товари</t>
  </si>
  <si>
    <t xml:space="preserve">Решітки металеві</t>
  </si>
  <si>
    <t xml:space="preserve">44210000-5 Конструкції та їх частини</t>
  </si>
  <si>
    <t xml:space="preserve">ФОП ЛЕВЧЕНКО ГАЛИНА ВАЛЕНТИНІВНА</t>
  </si>
  <si>
    <t xml:space="preserve">2279616700</t>
  </si>
  <si>
    <t xml:space="preserve">Рейки для серверу та кабельний організатор</t>
  </si>
  <si>
    <t xml:space="preserve">32520000-4 Телекомунікаційні кабелі та обладнання</t>
  </si>
  <si>
    <t xml:space="preserve">ТОВАРИСТВО З ОБМЕЖЕНОЮ ВІДПОВІДАЛЬНІСТЮ "ДНІПРО-ТЕХНОЦЕНТР"</t>
  </si>
  <si>
    <t xml:space="preserve">19089304</t>
  </si>
  <si>
    <t xml:space="preserve">Транспортні послуги з автобусного перевезення спортсменів КПНЗ "ДЮСШ ім. Д. Дідіка" м. Покров для участі у змаганнях з футболу відкритої першості міста Нікополь серед дитячих команд (2007-2012 року народження) сезону 2020-2021 року (у кількості 32 осіб) до     
м. Нікополь</t>
  </si>
  <si>
    <t xml:space="preserve">Коробки архівні з кришкою 270*350*170 мм Стандарт</t>
  </si>
  <si>
    <t xml:space="preserve">30193700-5 Коробки для паперів</t>
  </si>
  <si>
    <t xml:space="preserve">ГЛЬОНДЕР ВАСИЛЬ ВАСИЛЬОВИЧ</t>
  </si>
  <si>
    <t xml:space="preserve">2723216373</t>
  </si>
  <si>
    <t xml:space="preserve">Послуги з обов'язкового страхування цивільно-правової відповідальності власників наземних транспортних засобів</t>
  </si>
  <si>
    <t xml:space="preserve">Транспортні послуги з автобусного перевезення призовників м. Покров</t>
  </si>
  <si>
    <t xml:space="preserve">ЕСАУЛОВ ОЛЕКСАНДР ЛЕОНІДОВИЧ</t>
  </si>
  <si>
    <t xml:space="preserve">Запасні частини для автомобіля ВАЗ 21099 державний №АЕ3399АН</t>
  </si>
  <si>
    <t xml:space="preserve">34330000-9 Запасні частини до вантажних транспортних засобів, фургонів та легкових автомобілів</t>
  </si>
  <si>
    <t xml:space="preserve">Шини автомобільні 
</t>
  </si>
  <si>
    <t xml:space="preserve">34350000-5 Шини для транспортних засобів великої та малої тоннажності</t>
  </si>
  <si>
    <t xml:space="preserve">КОСЮК ПАВЛО ОЛЕКСАНДРОВИЧ</t>
  </si>
  <si>
    <t xml:space="preserve">Послуги з шиномонтажу</t>
  </si>
  <si>
    <t xml:space="preserve">ФОП "ПАВЛЮК ВІТАЛІЙ ВАЛЕРІЙОВИЧ"</t>
  </si>
  <si>
    <t xml:space="preserve">2728605913</t>
  </si>
  <si>
    <t xml:space="preserve">19510000-4 Гумові вироби</t>
  </si>
  <si>
    <t xml:space="preserve">Канцелярські товари</t>
  </si>
  <si>
    <t xml:space="preserve">ТОВ "АВЕРС КАНЦЕЛЯРІЯ"</t>
  </si>
  <si>
    <t xml:space="preserve">39417349</t>
  </si>
  <si>
    <t xml:space="preserve">Крісло офісне</t>
  </si>
  <si>
    <t xml:space="preserve">ФОП ШВИРДЮК ПАВЛО МИКОЛАЙОВИЧ</t>
  </si>
  <si>
    <t xml:space="preserve">2937810731</t>
  </si>
  <si>
    <t xml:space="preserve">РЕВУКА НАТАЛІЯ МИКОЛАЇВНА</t>
  </si>
  <si>
    <t xml:space="preserve">Комп’ютерне обладнання та бездротовий мікрофон</t>
  </si>
  <si>
    <t xml:space="preserve">32340000-8 Мікрофони та гучномовці</t>
  </si>
  <si>
    <t xml:space="preserve">39810000-3 Ароматизатори та воски</t>
  </si>
  <si>
    <t xml:space="preserve">Продуктові набори</t>
  </si>
  <si>
    <t xml:space="preserve">15890000-3 Продукти харчування та сушені продукти різні</t>
  </si>
  <si>
    <t xml:space="preserve">Інформація про закупівлі до 50 тис.грн. за ІІІ квартал 2021 року по Виконавчому комітету Покровської міської ради Дніпропетровської області</t>
  </si>
  <si>
    <t xml:space="preserve">Столи офісні</t>
  </si>
  <si>
    <t xml:space="preserve">39120000-9 Столи, серванти, письмові столи та книжкові шафи</t>
  </si>
  <si>
    <t xml:space="preserve">Автомобільний акумулятор </t>
  </si>
  <si>
    <t xml:space="preserve">31430000-9 Електричні акумулятори</t>
  </si>
  <si>
    <t xml:space="preserve">ПП КОНДРАТЧЕНКО ВЯЧЕСЛАВ ІВАНОВИЧ</t>
  </si>
  <si>
    <t xml:space="preserve">2609123591</t>
  </si>
  <si>
    <t xml:space="preserve">Подарунки</t>
  </si>
  <si>
    <t xml:space="preserve">Прапори</t>
  </si>
  <si>
    <t xml:space="preserve">35821000-5 Прапори</t>
  </si>
  <si>
    <t xml:space="preserve">ФОП КОРЧИНСЬКА  АЛІНА ОЛЕКСАНДРІВНА</t>
  </si>
  <si>
    <t xml:space="preserve">3284018629</t>
  </si>
  <si>
    <t xml:space="preserve">Багатофункціональний пристрій та фільтри мережеві </t>
  </si>
  <si>
    <t xml:space="preserve">Технічне обслуговування та перевірка спрацювання сигналізатора газу в термін не рідше 1 разу на місяць</t>
  </si>
  <si>
    <t xml:space="preserve">50530000-9 Послуги з ремонту і технічного обслуговування техніки</t>
  </si>
  <si>
    <t xml:space="preserve">ФОП МЕЛЬНИК НЕЛЯ МИКОЛАЇВНА</t>
  </si>
  <si>
    <t xml:space="preserve">Набір одноразового посуду</t>
  </si>
  <si>
    <t xml:space="preserve">ФОП ЯЛОВИЙ ВІТАЛІЙ МИКОЛАЙОВИЧ</t>
  </si>
  <si>
    <t xml:space="preserve">2777311259</t>
  </si>
  <si>
    <t xml:space="preserve">Подарункова та нагородна продукція</t>
  </si>
  <si>
    <t xml:space="preserve">ФОП ТУМАНОВА КАТЕРИНА ВАСИЛІВНА</t>
  </si>
  <si>
    <t xml:space="preserve">2980408441</t>
  </si>
  <si>
    <t xml:space="preserve">Послуги з організації проведення первинної державної експертизи комплексної системи захисту інформації автоматизованої системи взаємодії робочих місць Центру надання адміністративних послуг виконавчого комітету Покровської міської ради Дніпропетровської області з підсистемою «Оформлення документів, що підтверджують громадянство України, посвідчують особу чи її спеціальний статус Єдиної інформаційно-аналітичної системи управління міграційними процесами Державної міграційної служби України» через мережу НСКЗ </t>
  </si>
  <si>
    <t xml:space="preserve">71310000-4 Консультаційні послуги у галузях інженерії та будівництва</t>
  </si>
  <si>
    <t xml:space="preserve">ДЕРЖАВНЕ ПІДПРИЄМСТВО "УКРАЇНСЬКІ СПЕЦІАЛЬНІ СИСТЕМИ"</t>
  </si>
  <si>
    <t xml:space="preserve">32348248</t>
  </si>
  <si>
    <t xml:space="preserve">Вода питна та набори одноразового посуду</t>
  </si>
  <si>
    <t xml:space="preserve">41110000-3 Питна вода</t>
  </si>
  <si>
    <t xml:space="preserve">Монітор</t>
  </si>
  <si>
    <t xml:space="preserve">30230000-0 Комп’ютерне обладнання</t>
  </si>
  <si>
    <t xml:space="preserve">Кондиціонер настінний (з установкою) </t>
  </si>
  <si>
    <t xml:space="preserve">ФОП ГОРЕЛІКОВ ГЕННАДІЙ ДМИТРОВИЧ</t>
  </si>
  <si>
    <t xml:space="preserve">2321706558</t>
  </si>
  <si>
    <t xml:space="preserve">ФОП ЖЕБРАКОВА ЛІЛІЯ ЄВГЕНІВНА</t>
  </si>
  <si>
    <t xml:space="preserve">Фоторамки А4</t>
  </si>
  <si>
    <t xml:space="preserve">39290000-1 Фурнітура різна</t>
  </si>
  <si>
    <t xml:space="preserve">Фотографічне обладнання</t>
  </si>
  <si>
    <t xml:space="preserve">38650000-6 Фотографічне обладнання</t>
  </si>
  <si>
    <t xml:space="preserve">ФОП ВИНИЧУК  АРТЕМ ЮРІЙОВИЧ</t>
  </si>
  <si>
    <t xml:space="preserve">3447101710</t>
  </si>
  <si>
    <t xml:space="preserve">Багатофункціональний пристрій</t>
  </si>
  <si>
    <t xml:space="preserve">Нагородна продукція та казани туристичні</t>
  </si>
  <si>
    <t xml:space="preserve">Багатофункціональний пристрій та фільтри мережеві</t>
  </si>
  <si>
    <t xml:space="preserve">32420000-3 Мережеве обладнання</t>
  </si>
  <si>
    <t xml:space="preserve">Обслуговування (діагностика приладу, калібровка, випробування), ремонт (за необхідністю) та технічне забезпечення - проведення періодичної повірки сигналізаторів газу</t>
  </si>
  <si>
    <t xml:space="preserve">Послуги з планового технічного обслуговування або технічного обслуговування за заявкою Замовника газовикористовувального обладнання (опалювального котла; проточного водонагрівача) встановленого за адресою: Нікопольський р-н, с. Шолохове, вул. Центральна, б.14 (адмінбудівля)</t>
  </si>
  <si>
    <t xml:space="preserve">Витратні матеріали для принтерів, батареї для ДБЖ, точка доступу</t>
  </si>
  <si>
    <t xml:space="preserve">Набір одноразового посуду та подарунки</t>
  </si>
  <si>
    <t xml:space="preserve">Набори подарунків</t>
  </si>
  <si>
    <t xml:space="preserve">Сітілайти</t>
  </si>
  <si>
    <t xml:space="preserve">ФОП ТУРКУМАН СЕРГІЙ АНДРІЙОВИЧ</t>
  </si>
  <si>
    <t xml:space="preserve">2689909057</t>
  </si>
  <si>
    <t xml:space="preserve">Обладнання для створення об'єктів, мереж та комплексів спеціального зв'язку - організації каналу конфіденційного зв'язку в мережі Національної системи конфіденційного зв'язку</t>
  </si>
  <si>
    <t xml:space="preserve">Обладнання для створення об'єктів, мереж та комплексів спеціального зв'язку - організації каналу конфіденційного зв'язку в мережі Національної системи конфіденційного зв'язку.</t>
  </si>
  <si>
    <t xml:space="preserve">32260000-3 Обладнання для передавання даних</t>
  </si>
  <si>
    <t xml:space="preserve">Засіб криптографічного захисту інформації - "Ключ електронний "Алмаз-1К"</t>
  </si>
  <si>
    <t xml:space="preserve">ПРИВАТНЕ АКЦІОНЕРНЕ ТОВАРИСТВО "ІНСТИТУТ ІНФОРМАЦІЙНИХ ТЕХНОЛОГІЙ"</t>
  </si>
  <si>
    <t xml:space="preserve">22723472</t>
  </si>
  <si>
    <t xml:space="preserve">Поплавок для унітазу</t>
  </si>
  <si>
    <t xml:space="preserve">Подарунковий пакунок (продуктовий набір)</t>
  </si>
  <si>
    <t xml:space="preserve">ТОВАРИСТВО З ОБМЕЖЕНОЮ ВІДПОВІДАЛЬНІСТЮ ВИРОБНИЧО-КОМЕРЦІЙНА ФІРМА "БІЗНЕС-ЛІГА"</t>
  </si>
  <si>
    <t xml:space="preserve">21862763</t>
  </si>
  <si>
    <t xml:space="preserve">Послуги з підключення та постійного доступу до мережі інтернет по вул. Горького, 5</t>
  </si>
  <si>
    <t xml:space="preserve">Подарункові набори (канцелярські товари)</t>
  </si>
  <si>
    <t xml:space="preserve">Сигнальна стрічка</t>
  </si>
  <si>
    <t xml:space="preserve">44420000-0 Будівельні товари</t>
  </si>
  <si>
    <t xml:space="preserve">ФОП КОВТУН ГАННА ІВАНІВНА</t>
  </si>
  <si>
    <t xml:space="preserve">2919106288</t>
  </si>
  <si>
    <t xml:space="preserve">Печатки та штампи на основі автомат</t>
  </si>
  <si>
    <t xml:space="preserve">Світильник для стелі LED опаловий</t>
  </si>
  <si>
    <t xml:space="preserve">Послуги з проектування, монтажу, налаштування обладнання та організації каналу конфіденційного зв'язку у складі Національної системи конфіденційного зв'язку</t>
  </si>
  <si>
    <t xml:space="preserve">71340000-3 Комплексні інженерні послуги</t>
  </si>
  <si>
    <t xml:space="preserve">Букет збірний жовто-блакитний зі стрічкою</t>
  </si>
  <si>
    <t xml:space="preserve">03121200-7 Квіти зрізані</t>
  </si>
  <si>
    <t xml:space="preserve">Постери для сітілайтів</t>
  </si>
  <si>
    <t xml:space="preserve">Постер</t>
  </si>
  <si>
    <t xml:space="preserve">Ювілейна нагрудна медаль "30 років Незалежності України"</t>
  </si>
  <si>
    <t xml:space="preserve">ТОВАРИСТВО З ОБМЕЖЕНОЮ ВІДПОВІДАЛЬНІСТЮ "ВИРОБНИЧЕ ПІДПРИЄМСТВО "ГЕРОЛЬД"</t>
  </si>
  <si>
    <t xml:space="preserve">41497821</t>
  </si>
  <si>
    <t xml:space="preserve">Обстеження димових та вентиляційних каналів в газифікованому приміщенні адмінбудівлі за адресою: с. Шолохово, вул. Центральна, б.14</t>
  </si>
  <si>
    <t xml:space="preserve">Надання транспортних послуг з автобусного перевезення спортсменів КПНЗ "ДЮСШ ім. Д. Дідіка" м. Покров для участі у змаганнях з футболу відкритої першості міста Нікополь серед дитячих команд  (2007-2012 року народження) сезону 2021-2022 року (у кількості 19 осіб) до м. Нікополь </t>
  </si>
  <si>
    <t xml:space="preserve">Послуги зі створення комплексної системи захисту інформації автоматизованої системи взаємодії робочих місць Центру надання адміністративних послуг виконавчого комітету Покровської міської ради Дніпропетровської області з підсистемою "Оформлення документів, що підтверджують громадянство України, посвідчують особу чи її спеціальний статус Єдиної інформаційно-аналітичної системи управління міграційними процесами Державної міграційної служби України" через мережу Національної системи конфіденційного зв'язку</t>
  </si>
  <si>
    <t xml:space="preserve">72150000-1 Консультаційні послуги з питань комп’ютерного аудиту та комп’ютерного апаратного забезпечення</t>
  </si>
  <si>
    <t xml:space="preserve">32410000-0 Локальні мережі</t>
  </si>
  <si>
    <t xml:space="preserve">Ноутбук HP Pavilion 15-eg0043ua Blue (424C4EA)</t>
  </si>
  <si>
    <t xml:space="preserve">30210000-4 Машини для обробки даних (апаратна частина)</t>
  </si>
  <si>
    <t xml:space="preserve">ТОВ "КВОРУМ СИСТЕМС"</t>
  </si>
  <si>
    <t xml:space="preserve">43317165</t>
  </si>
  <si>
    <t xml:space="preserve">Надання транспортних послуг з автобусного перевезення учнів закладів середньої освіти м.Покров (у кількості 59 осіб)для відвідування екскурсійної експозиції відділу КЗК "Дніпропетровський національний історичний музей ім. Д.І. Яворницького" ДОР "Громадянський подвиг Дніпропетровщини в подіях АТО" м. Дніпро</t>
  </si>
  <si>
    <t xml:space="preserve">Світловідбиваюча полоса</t>
  </si>
  <si>
    <t xml:space="preserve">Питна вода негазована</t>
  </si>
  <si>
    <t xml:space="preserve">Звіт про закупівлі на суму до 50 тисяч гривень за IV квартал 2021року </t>
  </si>
  <si>
    <t xml:space="preserve">Теплова енергія</t>
  </si>
  <si>
    <t xml:space="preserve">09320000-8 Пара, гаряча вода та пов’язана продукція</t>
  </si>
  <si>
    <t xml:space="preserve">ТОВАРИСТВО З ОБМЕЖЕНОЮ ВІДПОВІДАЛЬНІСТЮ "АПС ПАУЕР ТЕХНОЛОДЖИ"</t>
  </si>
  <si>
    <t xml:space="preserve">40371795</t>
  </si>
  <si>
    <t xml:space="preserve">Солодкі подарунки - набір святкових пряників "Миколайчик"</t>
  </si>
  <si>
    <t xml:space="preserve">15810000-9 Хлібопродукти, свіжовипечені хлібобулочні та кондитерські вироби</t>
  </si>
  <si>
    <t xml:space="preserve">Канцелярське приладдя</t>
  </si>
  <si>
    <t xml:space="preserve">19520000-7 Пластмасові вироби</t>
  </si>
  <si>
    <t xml:space="preserve">22110000-4 Друковані книги</t>
  </si>
  <si>
    <t xml:space="preserve">ФОП КУЧУГУРНИЙ ЮРІЙ МИХАЙЛОВИЧ</t>
  </si>
  <si>
    <t xml:space="preserve">2713012233</t>
  </si>
  <si>
    <t xml:space="preserve">Друкована продукція</t>
  </si>
  <si>
    <t xml:space="preserve">22160000-9 Буклети</t>
  </si>
  <si>
    <t xml:space="preserve">Послуги з технічного обслуговування автоматизованого робочого місця, у тому числі виконання робіт, пов’язаних з поновленням роботи Єдиних та Державних реєстрів, автоматизованих систем, баз даних та інших інформаційних систем (далі – Системи), установлення програмного забезпечення Систем на додатковий комп’ютер тощо </t>
  </si>
  <si>
    <t xml:space="preserve">ДЕРЖАВНЕ ПІДПРИЄМСТВО "НАЦІОНАЛЬНІ ІНФОРМАЦІЙНІ СИСТЕМИ"</t>
  </si>
  <si>
    <t xml:space="preserve">39787008</t>
  </si>
  <si>
    <t xml:space="preserve">Вітальні листівки</t>
  </si>
  <si>
    <t xml:space="preserve">22320000-9 Вітальні листівки</t>
  </si>
  <si>
    <t xml:space="preserve">ФОП ШПОНЬКА ОЛЕКСАНДР ПАВЛОВИЧ</t>
  </si>
  <si>
    <t xml:space="preserve">Транспортні послуги з автобусного перевезення призовників м. Покров (у кількості  62 осіб) до м. Дніпро до обласного збірного пункту Дніпропетровського військового комісаріату</t>
  </si>
  <si>
    <t xml:space="preserve">Світлодіодних панелей та рамок для кріплення</t>
  </si>
  <si>
    <t xml:space="preserve">Квіткова продукція</t>
  </si>
  <si>
    <t xml:space="preserve"> Квіткова продукція</t>
  </si>
  <si>
    <t xml:space="preserve">Електрична енергія</t>
  </si>
  <si>
    <t xml:space="preserve">09310000-5 Електрична енергія</t>
  </si>
  <si>
    <t xml:space="preserve">ТОВАРИСТВО З ОБМЕЖЕНОЮ ВІДПОВІДАЛЬНІСТЮ "ДНІПРОВСЬКІ ЕНЕРГЕТИЧНІ ПОСЛУГИ"</t>
  </si>
  <si>
    <t xml:space="preserve">42082379</t>
  </si>
  <si>
    <t xml:space="preserve">Шини автомобільні зимові</t>
  </si>
  <si>
    <t xml:space="preserve">ПРИВАТНЕ ПІДПРИЄМСТВО "КОНСОЛЬ"</t>
  </si>
  <si>
    <t xml:space="preserve">32433715</t>
  </si>
  <si>
    <t xml:space="preserve">ТОВАРИСТВО З ОБМЕЖЕНОЮ ВІДПОВІДАЛЬНІСТЮ "УКРТЕХРЕСУРС"</t>
  </si>
  <si>
    <t xml:space="preserve">31277213</t>
  </si>
  <si>
    <t xml:space="preserve">Технічну інвентаризацію квартир за адресами: вул. Чіатурська, 3/75; вул. Центральна, 54/15; вул. Чіатурська, 5/10; вул. Центральна, 2А-59; вул. Партизанська, 91/29; вул. Чайкіної Лізи, 3/5;  вул. Торгова, 58/17;  вул. Тикви Григорія, 30/37; вул. Центральна, 44/7; вул. Центральна, 17/8;  вул. Центральна, 73/26; вул. Тикви Григорія, 30/28; вул. Центральна, 54/54; вул. Курчатова, 18/17; вул. Шляхова, 33/10  м. Покров, Нікопольського району, Дніпропетровської області з виготовленням технічних паспортів.</t>
  </si>
  <si>
    <t xml:space="preserve">71320000-7 Послуги з інженерного проектування</t>
  </si>
  <si>
    <t xml:space="preserve">ФОП НЕЧИПОРЕНКО ОЛЕНА ПАВЛІВНА</t>
  </si>
  <si>
    <t xml:space="preserve">2734307908</t>
  </si>
  <si>
    <t xml:space="preserve">Подяки на дошці </t>
  </si>
  <si>
    <t xml:space="preserve">ПП ШПОНЬКА ОЛЕКСАНДР ПАВЛОВИЧ</t>
  </si>
  <si>
    <t xml:space="preserve"> Світильники світлодіодні</t>
  </si>
  <si>
    <t xml:space="preserve">ТУРКУМАН СЕРГІЙ АНДРІЙОВИЧ</t>
  </si>
  <si>
    <t xml:space="preserve">22850000-3 Швидкозшивачі та супутнє приладдя</t>
  </si>
  <si>
    <t xml:space="preserve">Природний газ</t>
  </si>
  <si>
    <t xml:space="preserve">09120000-6 Газове паливо</t>
  </si>
  <si>
    <t xml:space="preserve">ТОВАРИСТВО З ОБМЕЖЕНОЮ ВІДПОВІДАЛЬНІСТЮ "ГАЗОПОСТАЧАЛЬНА КОМПАНІЯ "НАФТОГАЗ ТРЕЙДИНГ"</t>
  </si>
  <si>
    <t xml:space="preserve">42399676</t>
  </si>
  <si>
    <t xml:space="preserve">Запасні частини для  системи опалення</t>
  </si>
  <si>
    <t xml:space="preserve">44160000-9 Магістралі, трубопроводи, труби, обсадні труби, тюбінги та супутні вироби</t>
  </si>
  <si>
    <t xml:space="preserve">22150000-6 Брошури</t>
  </si>
  <si>
    <t xml:space="preserve">Інформаційно-консультативні послуги з навчання роботі з Єдиними та Державними реєстрами</t>
  </si>
  <si>
    <t xml:space="preserve">72220000-3 Консультаційні послуги з питань систем та з технічних питань</t>
  </si>
  <si>
    <t xml:space="preserve">24320000-3 Основні органічні хімічні речовини</t>
  </si>
  <si>
    <t xml:space="preserve">Послуги з налаштування мережевого, серверного та комунікаційного обладнання  по вул. Центральна, 48 в м. Покров Дніпропетровської області</t>
  </si>
  <si>
    <t xml:space="preserve">Мережеве обладнання та миша USB</t>
  </si>
  <si>
    <t xml:space="preserve">Бензин А-95</t>
  </si>
  <si>
    <t xml:space="preserve">09132100-4 Неетильований бензин</t>
  </si>
  <si>
    <t xml:space="preserve">ПРИВАТНЕ ВИРОБНИЧО-КОМЕРЦІЙНЕ ПІДПРИЄМСТВО "ПРОМТЕХСНАБ"</t>
  </si>
  <si>
    <t xml:space="preserve">30093109</t>
  </si>
  <si>
    <t xml:space="preserve">Послуги з обробки даних, видачі сертифікатів та їх обслуговування</t>
  </si>
  <si>
    <t xml:space="preserve">72310000-1 Послуги з обробки даних</t>
  </si>
  <si>
    <t xml:space="preserve">ТОВАРИСТВО З ОБМЕЖЕНОЮ ВІДПОВІДАЛЬНІСТЮ "ЦЕНТР СЕРТИФІКАЦІЇ КЛЮЧІВ "УКРАЇНА"</t>
  </si>
  <si>
    <t xml:space="preserve">36865753</t>
  </si>
  <si>
    <t xml:space="preserve">Продукція рослинництва</t>
  </si>
  <si>
    <t xml:space="preserve">Послуги з технічного обслуговування вогнегасників</t>
  </si>
  <si>
    <t xml:space="preserve">50410000-2 Послуги з ремонту і технічного обслуговування вимірювальних, випробувальних і контрольних приладів</t>
  </si>
  <si>
    <t xml:space="preserve">ТОВАРИСТВО З ОБМЕЖЕНОЮ ВІДПОВІДАЛЬНІСТЮ "ПОЖТЕХНІКА"</t>
  </si>
  <si>
    <t xml:space="preserve">31975926</t>
  </si>
  <si>
    <t xml:space="preserve">Солодкі подарунки</t>
  </si>
  <si>
    <t xml:space="preserve">ФОП ОХОНЬКО ГАЛИНА ВАСИЛІВНА</t>
  </si>
  <si>
    <t xml:space="preserve">2061807745</t>
  </si>
  <si>
    <t xml:space="preserve">Робочий проект на підключення до зовнішніх мереж водопостачання та водовідведення адміністративної будівлі старостинського округу за адресою: Дніпропетровська область, Нікопольський район, с. Шолохове, вул. Центральна, 14.</t>
  </si>
  <si>
    <t xml:space="preserve">Запасні частини для автомобіля Opel Vectra, державний №АЕ7555НР</t>
  </si>
  <si>
    <t xml:space="preserve">Послуги з поточного ремонту внутрішніх мереж теплопостачання в приміщенні адміністративної будівлі за адресою: вул.  Центральна,14  с. Шолохове  Нікопольського  району  Дніпропетровської  області</t>
  </si>
  <si>
    <t xml:space="preserve">50720000-8 Послуги з ремонту і технічного обслуговування систем центрального опалення</t>
  </si>
  <si>
    <t xml:space="preserve">ТОВАРИСТВО З ОБМЕЖЕНОЮ ВІДПОВІДАЛЬНІСТЮ "САНТЕХСЕРВІС 2017"</t>
  </si>
  <si>
    <t xml:space="preserve">41446211</t>
  </si>
  <si>
    <t xml:space="preserve">Комплект накладного кріплення для світильників</t>
  </si>
  <si>
    <t xml:space="preserve">Призи, подарунки, подарункові набори</t>
  </si>
  <si>
    <t xml:space="preserve">31310000-2 Мережеві кабелі</t>
  </si>
  <si>
    <t xml:space="preserve">Питна вода</t>
  </si>
  <si>
    <t xml:space="preserve">ПП МАРТИНОВЧЕНКО ТЕТЯНА БОРИСІВНА</t>
  </si>
  <si>
    <t xml:space="preserve">Світильники світлодіодні</t>
  </si>
  <si>
    <t xml:space="preserve">Дезінфікуючі засоби</t>
  </si>
  <si>
    <t xml:space="preserve">ТОВАРИСТВО З ОБМЕЖЕНОЮ ВІДПОВІДАЛЬНІСТЮ "ЦЕНТР ДІНА"</t>
  </si>
  <si>
    <t xml:space="preserve">31222520</t>
  </si>
  <si>
    <t xml:space="preserve">06.10.2021 11:14</t>
  </si>
  <si>
    <t xml:space="preserve">UA-2021-10-06-004047-b</t>
  </si>
  <si>
    <t xml:space="preserve">Запчастини</t>
  </si>
  <si>
    <t xml:space="preserve">34300000-0</t>
  </si>
  <si>
    <t xml:space="preserve">ПОКРОВСЬКЕ МІСЬКЕ КОМУНАЛЬНЕ ПІДПРИЄМСТВО "ДОБРОБУТ"</t>
  </si>
  <si>
    <t xml:space="preserve">31881440</t>
  </si>
  <si>
    <t xml:space="preserve">ФОП Франтішкова Т.Я. </t>
  </si>
  <si>
    <t xml:space="preserve">06.10.2021 14:18</t>
  </si>
  <si>
    <t xml:space="preserve">UA-2021-10-06-008601-b</t>
  </si>
  <si>
    <t xml:space="preserve">Кріпильні деталі</t>
  </si>
  <si>
    <t xml:space="preserve">44500000-5</t>
  </si>
  <si>
    <t xml:space="preserve">ФОП Ковтун Г. І.  </t>
  </si>
  <si>
    <t xml:space="preserve">07.10.2021 10:24</t>
  </si>
  <si>
    <t xml:space="preserve">UA-2021-10-07-000578-a</t>
  </si>
  <si>
    <t xml:space="preserve">Доски</t>
  </si>
  <si>
    <t xml:space="preserve">03400000-4</t>
  </si>
  <si>
    <t xml:space="preserve">ФОП Гайдамаченко Д.М.  </t>
  </si>
  <si>
    <t xml:space="preserve">07.10.2021 10:31</t>
  </si>
  <si>
    <t xml:space="preserve">UA-2021-10-07-000563-c</t>
  </si>
  <si>
    <t xml:space="preserve">Послуга пломбування/розпломбування лічильників</t>
  </si>
  <si>
    <t xml:space="preserve">50400000-9</t>
  </si>
  <si>
    <t xml:space="preserve">АТ "ДТЕК Дніпровські Електромережі"  </t>
  </si>
  <si>
    <t xml:space="preserve">07.10.2021 10:55</t>
  </si>
  <si>
    <t xml:space="preserve">UA-2021-10-07-000770-a</t>
  </si>
  <si>
    <t xml:space="preserve">Деревина</t>
  </si>
  <si>
    <t xml:space="preserve">20.10.2021 15:12</t>
  </si>
  <si>
    <t xml:space="preserve">UA-2021-10-20-009279-b</t>
  </si>
  <si>
    <t xml:space="preserve">Бетон М200</t>
  </si>
  <si>
    <t xml:space="preserve">44100000-1</t>
  </si>
  <si>
    <t xml:space="preserve">ТОВ "АНГОБ"  </t>
  </si>
  <si>
    <t xml:space="preserve">20.10.2021 15:18</t>
  </si>
  <si>
    <t xml:space="preserve">UA-2021-10-20-009459-b</t>
  </si>
  <si>
    <t xml:space="preserve">Ізолююча стрічка</t>
  </si>
  <si>
    <t xml:space="preserve">31600000-2</t>
  </si>
  <si>
    <t xml:space="preserve">ФОП Забутна С.П.  </t>
  </si>
  <si>
    <t xml:space="preserve">20.10.2021 15:31</t>
  </si>
  <si>
    <t xml:space="preserve">UA-2021-10-20-009875-b</t>
  </si>
  <si>
    <t xml:space="preserve">Прожектор 100 W</t>
  </si>
  <si>
    <t xml:space="preserve">31500000-1</t>
  </si>
  <si>
    <t xml:space="preserve">26.10.2021 14:50</t>
  </si>
  <si>
    <t xml:space="preserve">UA-2021-10-26-008616-b</t>
  </si>
  <si>
    <t xml:space="preserve">Системний блок</t>
  </si>
  <si>
    <t xml:space="preserve">30200000-1</t>
  </si>
  <si>
    <t xml:space="preserve">ФОП Прус О.В.  </t>
  </si>
  <si>
    <t xml:space="preserve">02.11.2021 14:37</t>
  </si>
  <si>
    <t xml:space="preserve">UA-2021-11-02-002217-b</t>
  </si>
  <si>
    <t xml:space="preserve">15.11.2021 11:09</t>
  </si>
  <si>
    <t xml:space="preserve">UA-2021-11-15-000970-b</t>
  </si>
  <si>
    <t xml:space="preserve">Послуги з професійної підготовки у сфері підвищення кваліфікації</t>
  </si>
  <si>
    <t xml:space="preserve">80500000-9</t>
  </si>
  <si>
    <t xml:space="preserve">ТОВ "ВСЕУКРАЇНСЬКИЙ ЦЕНТР З ПИТАНЬ ЕКОНОМІКИ І ОСВІТИ"  </t>
  </si>
  <si>
    <t xml:space="preserve">15.11.2021 15:31</t>
  </si>
  <si>
    <t xml:space="preserve">UA-2021-11-15-012451-a</t>
  </si>
  <si>
    <t xml:space="preserve">ФОП Варійчук О.В.  </t>
  </si>
  <si>
    <t xml:space="preserve">22.11.2021 15:12</t>
  </si>
  <si>
    <t xml:space="preserve">UA-2021-11-22-010144-a</t>
  </si>
  <si>
    <t xml:space="preserve">Послуги, пов’язані з програмним забезпеченням</t>
  </si>
  <si>
    <t xml:space="preserve">72200000-7</t>
  </si>
  <si>
    <t xml:space="preserve">ФОП ВИНОГРАДОВА А.Г. </t>
  </si>
  <si>
    <t xml:space="preserve">23.11.2021 16:12</t>
  </si>
  <si>
    <t xml:space="preserve">UA-2021-11-23-015049-a</t>
  </si>
  <si>
    <t xml:space="preserve">25.11.2021 09:36</t>
  </si>
  <si>
    <t xml:space="preserve">UA-2021-11-25-000854-b</t>
  </si>
  <si>
    <t xml:space="preserve">Кабелі та супутня продукція</t>
  </si>
  <si>
    <t xml:space="preserve">44300000-3</t>
  </si>
  <si>
    <t xml:space="preserve">26.11.2021 12:50</t>
  </si>
  <si>
    <t xml:space="preserve">UA-2021-11-26-001832-c</t>
  </si>
  <si>
    <t xml:space="preserve">90400000-1</t>
  </si>
  <si>
    <t xml:space="preserve">МКП «Покровське виробниче управління водопровідно-каналізаційного господарства» </t>
  </si>
  <si>
    <t xml:space="preserve">02.12.2021 10:56</t>
  </si>
  <si>
    <t xml:space="preserve">UA-2021-12-02-004151-c</t>
  </si>
  <si>
    <t xml:space="preserve">Технічне обслуговування компьютера</t>
  </si>
  <si>
    <t xml:space="preserve">50300000-8</t>
  </si>
  <si>
    <t xml:space="preserve">ФОП Довган Олексій Юрійович  </t>
  </si>
  <si>
    <t xml:space="preserve">Послуги з інженерного проектування</t>
  </si>
  <si>
    <t xml:space="preserve">71320000-7</t>
  </si>
  <si>
    <t xml:space="preserve">ФОП Нечипоренко О.П.</t>
  </si>
  <si>
    <t xml:space="preserve">Засіб КЗІ (криптографічного захисту інформації)</t>
  </si>
  <si>
    <t xml:space="preserve">30230000-0</t>
  </si>
  <si>
    <t xml:space="preserve">ПП "Портфель"</t>
  </si>
  <si>
    <t xml:space="preserve">UA-2021-10-01-004354-b</t>
  </si>
  <si>
    <t xml:space="preserve">Закупівля без використання електронної системи</t>
  </si>
  <si>
    <t xml:space="preserve">09320000-8 - Пара, гаряча вода та пов’язана продукція</t>
  </si>
  <si>
    <t xml:space="preserve">Територіальний центр соціального обслуговування</t>
  </si>
  <si>
    <t xml:space="preserve">21907980</t>
  </si>
  <si>
    <t xml:space="preserve">UA-2021-11-03-012168-a</t>
  </si>
  <si>
    <t xml:space="preserve">09130000-9 - Нафта і дистиляти</t>
  </si>
  <si>
    <t xml:space="preserve">ТОВАРИСТВО З ОБМЕЖЕНОЮ ВІДПОВІДАЛЬНІСТЮ "ДНІПРОНЕФТЬ"</t>
  </si>
  <si>
    <t xml:space="preserve">42516923</t>
  </si>
  <si>
    <t xml:space="preserve">UA-2021-11-10-004478-a</t>
  </si>
  <si>
    <t xml:space="preserve">18140000-2 - Аксесуари до робочого одягу</t>
  </si>
  <si>
    <t xml:space="preserve">ГАЙДАМАЧЕНКО ДМИТРО МИКОЛАЙОВИЧ</t>
  </si>
  <si>
    <t xml:space="preserve">2744304058</t>
  </si>
  <si>
    <t xml:space="preserve">UA-2021-11-15-002327-a</t>
  </si>
  <si>
    <t xml:space="preserve">30230000-0 - Комп’ютерне обладнання</t>
  </si>
  <si>
    <t xml:space="preserve">ТОВАРИСТВО З ОБМЕЖЕНОЮ ВІДПОВІДАЛЬНІСТЮ "КОМПАКОМ-2000"</t>
  </si>
  <si>
    <t xml:space="preserve">42668690</t>
  </si>
  <si>
    <t xml:space="preserve">UA-2021-11-29-000258-c</t>
  </si>
  <si>
    <t xml:space="preserve">79310000-0 - Послуги з проведення ринкових досліджень</t>
  </si>
  <si>
    <t xml:space="preserve">КУРІЛЕЦЬ ІГОР ВОЛОДИМИРОВИЧ</t>
  </si>
  <si>
    <t xml:space="preserve">2689814895</t>
  </si>
  <si>
    <t xml:space="preserve">UA-2021-12-03-011193-c</t>
  </si>
  <si>
    <t xml:space="preserve">50320000-4 - Послуги з ремонту і технічного обслуговування персональних комп’ютерів</t>
  </si>
  <si>
    <t xml:space="preserve">ГОЛИК НАТАЛІЯ ВАЛЕРІЇВНА</t>
  </si>
  <si>
    <t xml:space="preserve">2696203381</t>
  </si>
  <si>
    <t xml:space="preserve">UA-2021-12-07-010678-c</t>
  </si>
  <si>
    <t xml:space="preserve">15240000-2 - Рибні консерви та інші рибні страви і пресерви</t>
  </si>
  <si>
    <t xml:space="preserve">МАРТИНОВЧЕНКО ТЕТЯНА БОРИСІВНА</t>
  </si>
  <si>
    <t xml:space="preserve">UA-2021-12-07-012215-c</t>
  </si>
  <si>
    <t xml:space="preserve">15830000-5 - Цукор і супутня продукція</t>
  </si>
  <si>
    <t xml:space="preserve">UA-2021-12-07-013564-c</t>
  </si>
  <si>
    <t xml:space="preserve">15420000-8 - Рафіновані олії та жири</t>
  </si>
  <si>
    <t xml:space="preserve">UA-2021-12-07-013752-c</t>
  </si>
  <si>
    <t xml:space="preserve">15860000-4 - Кава, чай та супутня продукція</t>
  </si>
  <si>
    <t xml:space="preserve">UA-2021-12-07-014004-c</t>
  </si>
  <si>
    <t xml:space="preserve">15610000-7 - Продукція борошномельно-круп'яної промисловості</t>
  </si>
  <si>
    <t xml:space="preserve">UA-2021-12-07-014229-c</t>
  </si>
  <si>
    <t xml:space="preserve">15820000-2 - Сухарі та печиво; пресерви з хлібобулочних і кондитерських виробів</t>
  </si>
  <si>
    <t xml:space="preserve">UA-2021-12-07-014466-c</t>
  </si>
  <si>
    <t xml:space="preserve">15850000-1 - Макаронні вироби</t>
  </si>
  <si>
    <t xml:space="preserve">UA-2021-12-07-014644-c</t>
  </si>
  <si>
    <t xml:space="preserve">03210000-6 - Зернові культури та картопля</t>
  </si>
  <si>
    <t xml:space="preserve">UA-2021-12-07-014758-c</t>
  </si>
  <si>
    <t xml:space="preserve">14410000-8 - Кам’яна сіль</t>
  </si>
  <si>
    <t xml:space="preserve">UA-2021-12-09-001245-c</t>
  </si>
  <si>
    <t xml:space="preserve">50413200-5 - Послуги з ремонту і технічного обслуговування протипожежного обладнання</t>
  </si>
  <si>
    <t xml:space="preserve">ЛУГОВСЬКА ІННА ВОЛОДИМИРІВНА</t>
  </si>
  <si>
    <t xml:space="preserve">3263922001</t>
  </si>
  <si>
    <t xml:space="preserve">UA-2021-12-10-003878-c</t>
  </si>
  <si>
    <t xml:space="preserve">48311000-1 - Пакети програмного забезпечення для систем управління документообігом</t>
  </si>
  <si>
    <t xml:space="preserve">ГАЛУШКО ЮРІЙ ВОЛОДИМИРОВИЧ</t>
  </si>
  <si>
    <t xml:space="preserve">UA-2021-12-10-014816-c</t>
  </si>
  <si>
    <t xml:space="preserve">31610000-5 - Електричне обладнання для двигунів і транспортних засобів</t>
  </si>
  <si>
    <t xml:space="preserve">ДЮБАНОВ ВІКТОР ВАСИЛЬОВИЧ</t>
  </si>
  <si>
    <t xml:space="preserve">2299615814</t>
  </si>
  <si>
    <t xml:space="preserve">UA-2021-12-10-015830-c</t>
  </si>
  <si>
    <t xml:space="preserve">34320000-6 - Механічні запасні частини, крім двигунів і частин двигунів</t>
  </si>
  <si>
    <t xml:space="preserve">UA-2021-12-28-011089-c</t>
  </si>
  <si>
    <t xml:space="preserve">22450000-9 - Друкована продукція з елементами захисту</t>
  </si>
  <si>
    <t xml:space="preserve">UA-2021-11-19-004403-a</t>
  </si>
  <si>
    <t xml:space="preserve">Спрощена / Допорогова закупівля</t>
  </si>
  <si>
    <t xml:space="preserve">30190000-7 - Офісне устаткування та приладдя різне</t>
  </si>
  <si>
    <t xml:space="preserve">ТОВАРИСТВО З ОБМЕЖЕНОЮ ВІДПОВІДАЛЬНІСТЮ "ДИРЕКТ ОФІС СЕРВІС"</t>
  </si>
  <si>
    <t xml:space="preserve">41136522</t>
  </si>
  <si>
    <t xml:space="preserve">UA-2021-11-04-004757-a</t>
  </si>
  <si>
    <t xml:space="preserve">09120000-6 - Газове паливо</t>
  </si>
  <si>
    <t xml:space="preserve"> UA-2021-11-25-000524-c</t>
  </si>
  <si>
    <t xml:space="preserve">Послуги з централізованого водопостачання</t>
  </si>
  <si>
    <t xml:space="preserve">ДК021-2015:65110000-7</t>
  </si>
  <si>
    <t xml:space="preserve">ПМКП "Житлкомсервіс"</t>
  </si>
  <si>
    <t xml:space="preserve">41230763</t>
  </si>
  <si>
    <t xml:space="preserve">Міське комунальне підприємство "Покровське виробниче управління водопровідно-каналізаційного господарства"</t>
  </si>
  <si>
    <t xml:space="preserve"> UA-2021-11-25-000599-c</t>
  </si>
  <si>
    <t xml:space="preserve">Послуги з централізованого водовідведення</t>
  </si>
  <si>
    <t xml:space="preserve">ДК 021:2015: 90430000-0</t>
  </si>
  <si>
    <t xml:space="preserve">UA-2021-10-05-002850-c</t>
  </si>
  <si>
    <t xml:space="preserve">Фарби</t>
  </si>
  <si>
    <t xml:space="preserve">44810000-1: Фарби</t>
  </si>
  <si>
    <t xml:space="preserve">КНП "ЦПМСД Покровської міської ради"</t>
  </si>
  <si>
    <t xml:space="preserve">37691403</t>
  </si>
  <si>
    <t xml:space="preserve">ФОП Гайдамаченко Д.М.</t>
  </si>
  <si>
    <t xml:space="preserve">UA-2021-09-21-003709-a</t>
  </si>
  <si>
    <t xml:space="preserve">Молочні суміші ("Малиш" суміш швидкого приготування в асортименті, 350г; "Малютка-1" швидкого приготування для харчування дітей від народження до 6-ти міс.(початкова), 350г)</t>
  </si>
  <si>
    <t xml:space="preserve">15880000-0 — Спеціальні продукти харчування, збагачені поживними речовинами</t>
  </si>
  <si>
    <t xml:space="preserve">ТОВ ЮР-ТВІН</t>
  </si>
  <si>
    <t xml:space="preserve">31348357</t>
  </si>
  <si>
    <t xml:space="preserve">UA-2021-10-13-006167-c</t>
  </si>
  <si>
    <t xml:space="preserve">Поточний ремонт приміщення амбулаторії загальної практики сімейної медицини №2 (53300, Дніпропетровська обл.., м. Покров, вул. Л.Чайкіної, 26)</t>
  </si>
  <si>
    <t xml:space="preserve">45450000-6 — Інші завершальні будівельні роботи</t>
  </si>
  <si>
    <t xml:space="preserve">ТОВ "ПОБУТКОМФОРТ 2017"</t>
  </si>
  <si>
    <t xml:space="preserve">41485638</t>
  </si>
  <si>
    <t xml:space="preserve">UA-2021-10-11-005363-b</t>
  </si>
  <si>
    <t xml:space="preserve">Швидкий тест на антиген COVID-19 № 25</t>
  </si>
  <si>
    <t xml:space="preserve">33120000-7: Системи реєстрації медичної інформації та дослідне обладнання</t>
  </si>
  <si>
    <t xml:space="preserve">ТОВ Окіра</t>
  </si>
  <si>
    <t xml:space="preserve">41065510</t>
  </si>
  <si>
    <t xml:space="preserve">UA-2021-10-19-000422-a</t>
  </si>
  <si>
    <t xml:space="preserve">Автозапчастини для легкових автомобілів (медична допомога)</t>
  </si>
  <si>
    <t xml:space="preserve">34330000-9: Запасні частини до вантажних транспортних засобів, фургонів та легкових автомобілів</t>
  </si>
  <si>
    <t xml:space="preserve">ФОП Дюбанов В.В.</t>
  </si>
  <si>
    <t xml:space="preserve">UA-2021-10-01-008584-b</t>
  </si>
  <si>
    <t xml:space="preserve">Поточний ремонт службового автомобіля TK-GK СК МД державний №АЕ0663МА</t>
  </si>
  <si>
    <t xml:space="preserve">50110000-9: Послуги з ремонту і технічного обслуговування мототранспортних засобів і супутнього обладнання</t>
  </si>
  <si>
    <t xml:space="preserve">ФОП "ІЗЮМЕНКО РУСЛАНА МИХАЙЛІВНА"</t>
  </si>
  <si>
    <t xml:space="preserve">UA-2021-10-26-002938-c</t>
  </si>
  <si>
    <t xml:space="preserve">Рукавички оглядові нітрилові необпудрені</t>
  </si>
  <si>
    <t xml:space="preserve">33140000-3 — Медичні матеріали</t>
  </si>
  <si>
    <t xml:space="preserve">ФОП Філатов Р.С.</t>
  </si>
  <si>
    <t xml:space="preserve">UA-2021-10-26-012335-b</t>
  </si>
  <si>
    <t xml:space="preserve">Маска киснева (для дорослих)</t>
  </si>
  <si>
    <t xml:space="preserve">33190000-8: Медичне обладнання та вироби медичного призначення різні</t>
  </si>
  <si>
    <t xml:space="preserve">ФОП Самігуллін О.Р.</t>
  </si>
  <si>
    <t xml:space="preserve">UA-2021-10-26-002995-c </t>
  </si>
  <si>
    <t xml:space="preserve">Відсів</t>
  </si>
  <si>
    <t xml:space="preserve">14210000-6: Гравій, пісок, щебінь і наповнювачі</t>
  </si>
  <si>
    <t xml:space="preserve">ФОП Кодріна О.М.</t>
  </si>
  <si>
    <t xml:space="preserve">UA-2021-10-27-002843-b</t>
  </si>
  <si>
    <t xml:space="preserve">Арматура трубопровідна</t>
  </si>
  <si>
    <t xml:space="preserve">42130000-9: Арматура трубопровідна: крани, вентилі, клапани та подібні пристрої</t>
  </si>
  <si>
    <t xml:space="preserve">UA-2021-10-28-003287-b</t>
  </si>
  <si>
    <t xml:space="preserve">Вироби медичного призначення (пульсоксиметр, інфрачервоний термометр, вимирівач АТ)</t>
  </si>
  <si>
    <t xml:space="preserve">ТОВ "РАД ФАРМ"</t>
  </si>
  <si>
    <t xml:space="preserve">UA-2021-10-29-002438-b</t>
  </si>
  <si>
    <t xml:space="preserve">Вироби медичного призначення (костюм біозахисний, халат медичний, бахіли, шапочка захисна, фартух захисний, мішок паталогоанатомічний)</t>
  </si>
  <si>
    <t xml:space="preserve">33190000-8 — Медичне обладнання та вироби медичного призначення різні</t>
  </si>
  <si>
    <t xml:space="preserve">UA-2021-10-08-005579-c</t>
  </si>
  <si>
    <t xml:space="preserve">Комп’ютерне обладнання (багатофункціональний пристрій)</t>
  </si>
  <si>
    <t xml:space="preserve">30230000-0: Комп’ютерне обладнання</t>
  </si>
  <si>
    <t xml:space="preserve">ТОВ "ПАВЕРТРЕЙД"</t>
  </si>
  <si>
    <t xml:space="preserve">UA-2021-11-03-002778-c</t>
  </si>
  <si>
    <t xml:space="preserve">Програмний продукт "АІС "Місцеві бюджети розпорядника бюджетних коштів"</t>
  </si>
  <si>
    <t xml:space="preserve">72260000-5 — Послуги, пов’язані з програмним забезпеченням</t>
  </si>
  <si>
    <t xml:space="preserve">ФОП Виноградова А.Г.</t>
  </si>
  <si>
    <t xml:space="preserve">UA-2021-11-03-003263-b</t>
  </si>
  <si>
    <t xml:space="preserve">Конструкційні матеріали</t>
  </si>
  <si>
    <t xml:space="preserve">44110000-4 — Конструкційні матеріали</t>
  </si>
  <si>
    <t xml:space="preserve">UA-2021-11-04-007508-b</t>
  </si>
  <si>
    <t xml:space="preserve">Світильник LED-PRISMATIC-595-19-6400K-36W-220V-3000L-ІР20</t>
  </si>
  <si>
    <t xml:space="preserve">31520000-7 — Світильники та освітлювальна арматура</t>
  </si>
  <si>
    <t xml:space="preserve">ТОВ "Кабельні технології"</t>
  </si>
  <si>
    <t xml:space="preserve">UA-2021-11-10-013177-a</t>
  </si>
  <si>
    <t xml:space="preserve">Послуги з підтримки та технічного обслуговування сайту</t>
  </si>
  <si>
    <t xml:space="preserve">72410000-7 — Послуги провайдерів</t>
  </si>
  <si>
    <t xml:space="preserve">ФОП Овчаренко М.І.</t>
  </si>
  <si>
    <t xml:space="preserve">UA-2021-10-29-002064-c</t>
  </si>
  <si>
    <t xml:space="preserve">Папір офісний</t>
  </si>
  <si>
    <t xml:space="preserve">30190000-7 — Офісне устаткування та приладдя різне</t>
  </si>
  <si>
    <t xml:space="preserve">Товариство з обмеженою відповідальністю "СВІКОМ"</t>
  </si>
  <si>
    <t xml:space="preserve">UA-2021-11-23-002688-b</t>
  </si>
  <si>
    <t xml:space="preserve">Опромінювач бактерицидний настінний</t>
  </si>
  <si>
    <t xml:space="preserve">39330000-4 — Дезінфекційне обладнання</t>
  </si>
  <si>
    <t xml:space="preserve">ТОВ "ТРИАМЕД ГРУП"</t>
  </si>
  <si>
    <t xml:space="preserve">UA-2021-11-23-005062-b</t>
  </si>
  <si>
    <t xml:space="preserve">Послуги з заправки та ремонту картриджів</t>
  </si>
  <si>
    <t xml:space="preserve">50310000-1 - Технічне обслуговування і ремонт офісної техніки</t>
  </si>
  <si>
    <t xml:space="preserve">ФОП Прус О.В.</t>
  </si>
  <si>
    <t xml:space="preserve">UA-2021-11-23-016478-a</t>
  </si>
  <si>
    <t xml:space="preserve">Автозапчастини для GEELY TK-CL МД (медична допомога)</t>
  </si>
  <si>
    <t xml:space="preserve">34330000-9 — Запасні частини до вантажних транспортних засобів, фургонів та легкових автомобілів</t>
  </si>
  <si>
    <t xml:space="preserve">ФОП Казмерчук Р.В.</t>
  </si>
  <si>
    <t xml:space="preserve">UA-2021-11-05-003014-c</t>
  </si>
  <si>
    <t xml:space="preserve">Світильник LED</t>
  </si>
  <si>
    <t xml:space="preserve">UA-2021-11-29-004360-b</t>
  </si>
  <si>
    <t xml:space="preserve">Прокладання внутрішньої високошвидкісної мережі інтернету</t>
  </si>
  <si>
    <t xml:space="preserve">32410000-0 — Локальні мережі</t>
  </si>
  <si>
    <t xml:space="preserve">ФОП Толстунов В.О.</t>
  </si>
  <si>
    <t xml:space="preserve">UA-2021-12-06-004679-b</t>
  </si>
  <si>
    <t xml:space="preserve">Система Expertus Кадри VIP</t>
  </si>
  <si>
    <t xml:space="preserve">22210000-5 — Газети</t>
  </si>
  <si>
    <t xml:space="preserve">ТОВ "МЦФЕР-Україна"</t>
  </si>
  <si>
    <t xml:space="preserve">UA-2021-12-06-004731-b</t>
  </si>
  <si>
    <t xml:space="preserve">Система Expertus Медзаклад за рівнем VIP</t>
  </si>
  <si>
    <t xml:space="preserve">UA-2021-12-06-017105-c</t>
  </si>
  <si>
    <t xml:space="preserve">Водонагрівач NOVATEC 50 л</t>
  </si>
  <si>
    <t xml:space="preserve">42160000-8 — Котельні установки</t>
  </si>
  <si>
    <t xml:space="preserve">UA-2021-11-10-016707-a</t>
  </si>
  <si>
    <t xml:space="preserve">UA-2021-12-07-008353-a</t>
  </si>
  <si>
    <t xml:space="preserve">Неінвазивна система вентиляції AUTO CPAP VM-6</t>
  </si>
  <si>
    <t xml:space="preserve">33150000-6 — Апаратура для радіотерапії, механотерапії, електротерапії та фізичної терапії</t>
  </si>
  <si>
    <t xml:space="preserve">UA-2021-12-11-000038-b</t>
  </si>
  <si>
    <t xml:space="preserve">UA-2021-12-11-000190-c</t>
  </si>
  <si>
    <t xml:space="preserve">Плівка самоклеюча</t>
  </si>
  <si>
    <t xml:space="preserve">44170000-2: Плити, листи, стрічки та фольга, пов’язані з конструкційними матеріалами</t>
  </si>
  <si>
    <t xml:space="preserve">ФОП Коротаєв С.В.</t>
  </si>
  <si>
    <t xml:space="preserve">UA-2021-12-10-007463-a</t>
  </si>
  <si>
    <t xml:space="preserve">Примірник та пакети оновлення до компп"ютерної програми "M.E.Doc"</t>
  </si>
  <si>
    <t xml:space="preserve">48310000-4 — Пакети програмного забезпечення для створення документів</t>
  </si>
  <si>
    <t xml:space="preserve">ФОП Галушко Ю.А.</t>
  </si>
  <si>
    <t xml:space="preserve">UA-2021-12-14-007324-a</t>
  </si>
  <si>
    <t xml:space="preserve">Прокладання високошвидкісної мережі інтернету (гінекологічний корпус, 3 поверх)</t>
  </si>
  <si>
    <t xml:space="preserve">UA-2021-12-14-009552-b</t>
  </si>
  <si>
    <t xml:space="preserve">Послуги з перевірки параметрів роботи пристроїв STAG, заміна фільтрів</t>
  </si>
  <si>
    <t xml:space="preserve">50110000-9 — Послуги з ремонту і технічного обслуговування мототранспортних засобів і супутнього обладнання</t>
  </si>
  <si>
    <t xml:space="preserve">ФОП Садова Я.С.</t>
  </si>
  <si>
    <t xml:space="preserve">UA-2021-12-14-009590-b</t>
  </si>
  <si>
    <t xml:space="preserve">Прокладання високошвидкісної мережі інтернету (фільтр амбулаторії ЗПСМ №4)</t>
  </si>
  <si>
    <t xml:space="preserve">UA-2021-12-15-000001-a</t>
  </si>
  <si>
    <t xml:space="preserve">Біолік туберкулін ППД-Л розчин для ін"єкцій з активнстю 2 ТО/доза по 0,6 мл (6 доз)</t>
  </si>
  <si>
    <t xml:space="preserve">33600000-6 — Фармацевтична продукція</t>
  </si>
  <si>
    <t xml:space="preserve">ТОВ "СТМ - Фарм"</t>
  </si>
  <si>
    <t xml:space="preserve">UA-2021-12-22-005108-a</t>
  </si>
  <si>
    <t xml:space="preserve">50410000-2 — Послуги з ремонту і технічного обслуговування вимірювальних, випробувальних і контрольних приладів</t>
  </si>
  <si>
    <t xml:space="preserve">ТОВ "ПОЖТЕХНІКА"</t>
  </si>
  <si>
    <t xml:space="preserve">UA-2021-12-29-002215-b</t>
  </si>
  <si>
    <t xml:space="preserve">Добровільне страхування на випадок хвороби</t>
  </si>
  <si>
    <t xml:space="preserve">66510000-8 — Страхові послуги</t>
  </si>
  <si>
    <t xml:space="preserve">ПАТ "УКРАЇНСЬКА СТРАХОВА КОМПАНІЯ "КНЯЖА ВІЄННА ІНШУРАНС ГРУП"</t>
  </si>
  <si>
    <t xml:space="preserve">UA-2021-12-30-002463-a</t>
  </si>
  <si>
    <t xml:space="preserve">Послуги з розподілу електричної енергії</t>
  </si>
  <si>
    <t xml:space="preserve">65310000-9 — Розподіл електричної енергії</t>
  </si>
  <si>
    <t xml:space="preserve">АТ "ДТЕК "ДНІПРОВСЬКІ ЕЛЕКТРОМЕРЕЖІ"</t>
  </si>
  <si>
    <t xml:space="preserve">UA-2021-12-28-007392-b</t>
  </si>
  <si>
    <t xml:space="preserve">Ремонт транспортних засобів (державний номер АЕ0681МА)</t>
  </si>
  <si>
    <t xml:space="preserve">50116000-1 — Послуги з ремонту і технічного обслуговування окремих частин транспортних засобів</t>
  </si>
  <si>
    <t xml:space="preserve">UA-2021-12-28-007539-b</t>
  </si>
  <si>
    <t xml:space="preserve">Навчання з питань пожежної безпеки у Україні</t>
  </si>
  <si>
    <t xml:space="preserve">80510000-2 — Послуги з професійної підготовки спеціалістів</t>
  </si>
  <si>
    <t xml:space="preserve">КП "НКК ДОР"</t>
  </si>
  <si>
    <t xml:space="preserve">UA-2021-12-28-015503-c</t>
  </si>
  <si>
    <t xml:space="preserve">Навчання з правил безпечної експлуатації електроустановок споживачів, правил технічної експлуатації електроустановок споживачів</t>
  </si>
  <si>
    <t xml:space="preserve">UA-2021-12-28-015632-c</t>
  </si>
  <si>
    <t xml:space="preserve">Послуги з навчання по законодавству і нормативно-правовим актам з питань охорони праці</t>
  </si>
  <si>
    <t xml:space="preserve">UA-2021-12-28-003937-a</t>
  </si>
  <si>
    <t xml:space="preserve">UA-2021-12-29-000485-b</t>
  </si>
  <si>
    <t xml:space="preserve">Насос циркулярний 25/4-180GB ZEGOR</t>
  </si>
  <si>
    <t xml:space="preserve">42120000-6 — Насоси та компресори</t>
  </si>
  <si>
    <t xml:space="preserve">UA-2021-12-30-012381-c</t>
  </si>
  <si>
    <t xml:space="preserve">Навчання на курсі "Як дотримати санепідрежиму під час роботи з інструментами"</t>
  </si>
  <si>
    <t xml:space="preserve">80550000-4 — Послуги з професійної підготовки у сфері безпеки</t>
  </si>
  <si>
    <t xml:space="preserve">UA-2021-12-29-006639-c</t>
  </si>
  <si>
    <t xml:space="preserve">Будівельні товари</t>
  </si>
  <si>
    <t xml:space="preserve">44420000-0 — Будівельні товари</t>
  </si>
  <si>
    <t xml:space="preserve">UA-2021-10-05-005011-b</t>
  </si>
  <si>
    <t xml:space="preserve">Рукавички хірургічні латексні текстуровані без пудри</t>
  </si>
  <si>
    <t xml:space="preserve">КП "ЦМЛ ПМР ДО"</t>
  </si>
  <si>
    <t xml:space="preserve">01987563</t>
  </si>
  <si>
    <t xml:space="preserve">СОРОКІНА ОЛЕКСАНДРА ЮРІЇВНА</t>
  </si>
  <si>
    <t xml:space="preserve">3640307707</t>
  </si>
  <si>
    <t xml:space="preserve">UA-2021-10-08-011553-b</t>
  </si>
  <si>
    <t xml:space="preserve">Послуги з підвищення кваліфікації молодших медичних спеціалістів</t>
  </si>
  <si>
    <t xml:space="preserve">80570000-0 — Послуги з професійної підготовки у сфері підвищення кваліфікації</t>
  </si>
  <si>
    <t xml:space="preserve">КОМУНАЛЬНЕ ПІДПРИЄМСТВО "ОБЛАСНИЙ ЦЕНТР ГРОМАДСЬКОГО ЗДОРОВ'Я" ДНІПРОПЕТРОВСЬКОЇ ОБЛАСНОЇ РАДИ"</t>
  </si>
  <si>
    <t xml:space="preserve">UA-2021-10-11-012256-b</t>
  </si>
  <si>
    <t xml:space="preserve">Рукавички нітрилові</t>
  </si>
  <si>
    <t xml:space="preserve">ФІЛАТОВ РОМАН СЕРГІЙОВИЧ</t>
  </si>
  <si>
    <t xml:space="preserve">3155421332</t>
  </si>
  <si>
    <t xml:space="preserve">UA-2021-10-11-012401-b</t>
  </si>
  <si>
    <t xml:space="preserve">Маска киснева</t>
  </si>
  <si>
    <t xml:space="preserve">Самігуллін Олексій Равільович</t>
  </si>
  <si>
    <t xml:space="preserve">2999212990</t>
  </si>
  <si>
    <t xml:space="preserve">UA-2021-10-11-012460-b</t>
  </si>
  <si>
    <t xml:space="preserve">Маска медична тришарова нестерильна</t>
  </si>
  <si>
    <t xml:space="preserve">UA-2021-10-12-013087-b</t>
  </si>
  <si>
    <t xml:space="preserve">Метрологічні послуги</t>
  </si>
  <si>
    <t xml:space="preserve">71630000-3 — Послуги з технічного огляду та випробовувань</t>
  </si>
  <si>
    <t xml:space="preserve">ДЕРЖАВНЕ ПІДПРИЄМСТВО "ДНІПРОПЕТРОВСЬКИЙ РЕГІОНАЛЬНИЙ ДЕРЖАВНИЙ НАУКОВО-ТЕХНІЧНИЙ ЦЕНТР СТАНДАРТИЗАЦІЇ, МЕТРОЛОГІЇ ТА СЕРТИФІКАЦІЇ"</t>
  </si>
  <si>
    <t xml:space="preserve">04725941</t>
  </si>
  <si>
    <t xml:space="preserve">UA-2021-10-18-009368-c</t>
  </si>
  <si>
    <t xml:space="preserve">Плівка радіографічна</t>
  </si>
  <si>
    <t xml:space="preserve">32350000-1 — Частини до аудіо- та відеообладнання</t>
  </si>
  <si>
    <t xml:space="preserve">ТОВАРИСТВО З ОБМЕЖЕНОЮ ВІДПОВІДАЛЬНІСТЮ "ЛІЗОФОРМ МЕДІКАЛ"</t>
  </si>
  <si>
    <t xml:space="preserve">36257034</t>
  </si>
  <si>
    <t xml:space="preserve">UA-2021-10-18-011074-c</t>
  </si>
  <si>
    <t xml:space="preserve">39130000-2 — Офісні меблі</t>
  </si>
  <si>
    <t xml:space="preserve">ОЛІМЕНКО ЮРІЙ ОЛЕКСІЙОВИЧ</t>
  </si>
  <si>
    <t xml:space="preserve">2302120630</t>
  </si>
  <si>
    <t xml:space="preserve">UA-2021-10-19-001839-c</t>
  </si>
  <si>
    <t xml:space="preserve">Послуги з підготовки необхідного пакету документів для подачі до ГУ Держпродспоживслужби з метою отримання санітарного паспорту на право експлуатації рентгенівських кабінетів</t>
  </si>
  <si>
    <t xml:space="preserve">79130000-4: Юридичні послуги, пов’язані з оформленням і засвідченням документів</t>
  </si>
  <si>
    <t xml:space="preserve">ПРИВАТНЕ ПІДПРИЄМСТВО "КОТРІС"</t>
  </si>
  <si>
    <t xml:space="preserve">31371590</t>
  </si>
  <si>
    <t xml:space="preserve">UA-2021-10-19-016278-c</t>
  </si>
  <si>
    <t xml:space="preserve">Послуги з поточного ремонту і технічного обслуговування медичного обладнання</t>
  </si>
  <si>
    <t xml:space="preserve">50420000-5 — Послуги з ремонту і технічного обслуговування медичного та хірургічного обладнання</t>
  </si>
  <si>
    <t xml:space="preserve">ОБДИМКО ВЯЧЕСЛАВ МИХАЙЛОВИЧ</t>
  </si>
  <si>
    <t xml:space="preserve">1978521798</t>
  </si>
  <si>
    <t xml:space="preserve">UA-2021-10-27-011725-a</t>
  </si>
  <si>
    <t xml:space="preserve">Штативи для тривалих вливань</t>
  </si>
  <si>
    <t xml:space="preserve">UA-2021-11-01-013793-a</t>
  </si>
  <si>
    <t xml:space="preserve">Надання освітніх послуг у сфері медичної освіти</t>
  </si>
  <si>
    <t xml:space="preserve">80320000-3 — Послуги у сфері медичної освіти</t>
  </si>
  <si>
    <t xml:space="preserve">ДЕРЖАВНИЙ ЗАКЛАД "ЗАПОРІЗЬКА МЕДИЧНА АКАДЕМІЯ ПІСЛЯДИПЛОМНОЇ ОСВІТИ МІНІСТЕРСТВА ОХОРОНИ ЗДОРОВ'Я УКРАЇНИ"</t>
  </si>
  <si>
    <t xml:space="preserve">01896694</t>
  </si>
  <si>
    <t xml:space="preserve">UA-2021-11-01-013834-a</t>
  </si>
  <si>
    <t xml:space="preserve">Розхідні матеріали для надання медичної допомоги хворим на Covid-19 (киснева подушка, маска киснева з мішком, фільтр дихальний вірусобактеріальний, високопотокова назальна канюля, маска для неінвазивної ШВЛ)</t>
  </si>
  <si>
    <t xml:space="preserve">UA-2021-11-01-013907-a</t>
  </si>
  <si>
    <t xml:space="preserve">Костім біозахисний багаторазового використання</t>
  </si>
  <si>
    <t xml:space="preserve">UA-2021-11-05-015725-b</t>
  </si>
  <si>
    <t xml:space="preserve">Кисень медичний газоподібний</t>
  </si>
  <si>
    <t xml:space="preserve">24110000-8 — Промислові гази</t>
  </si>
  <si>
    <t xml:space="preserve">КОМАНДИТНЕ ТОВАРИСТВО "ТОВ "ЗАПОРІЗЬКИЙ АВТОГЕННИЙ ЗАВОД" І КОМПАНІЯ"</t>
  </si>
  <si>
    <t xml:space="preserve">00204777</t>
  </si>
  <si>
    <t xml:space="preserve">UA-2021-11-05-015808-b</t>
  </si>
  <si>
    <t xml:space="preserve">Послуги з перевезення продукції Замовнику (доставка кисню медичного)</t>
  </si>
  <si>
    <t xml:space="preserve">60100000-9: Послуги з автомобільних перевезень</t>
  </si>
  <si>
    <t xml:space="preserve">UA-2021-11-10-016534-a</t>
  </si>
  <si>
    <t xml:space="preserve">Інвалідний візок, милиці пахові, ходунки</t>
  </si>
  <si>
    <t xml:space="preserve">33180000-5 — Апаратура для підтримування фізіологічних функцій організму</t>
  </si>
  <si>
    <t xml:space="preserve">БЕБИК СЕРГІЙ МИКОЛАЙОВИЧ</t>
  </si>
  <si>
    <t xml:space="preserve">UA-2021-11-11-016888-a</t>
  </si>
  <si>
    <t xml:space="preserve">Транспортні послуги з перевезення кисню медичного</t>
  </si>
  <si>
    <t xml:space="preserve">UA-2021-11-11-017034-a</t>
  </si>
  <si>
    <t xml:space="preserve">Фармацевтична продукція (медикаменти для лікування хворих на Covid-19)</t>
  </si>
  <si>
    <t xml:space="preserve">ТОВАРИСТВО З ОБМЕЖЕНОЮ ВІДПОВІДАЛЬНІСТЮ "СТМ-Фарм"</t>
  </si>
  <si>
    <t xml:space="preserve">UA-2021-11-11-017129-a</t>
  </si>
  <si>
    <t xml:space="preserve">Розхідні медичні матеріали для надання доопомоги хворим на Covid-19</t>
  </si>
  <si>
    <t xml:space="preserve">UA-2021-11-16-014335-a</t>
  </si>
  <si>
    <t xml:space="preserve">Плитка електрична</t>
  </si>
  <si>
    <t xml:space="preserve">39710000-2 — Електричні побутові прилади</t>
  </si>
  <si>
    <t xml:space="preserve">ЗАБУТНОЙ СЕРГІЙ АНАТОЛІЙОВИЧ</t>
  </si>
  <si>
    <t xml:space="preserve">UA-2021-11-16-014420-a</t>
  </si>
  <si>
    <t xml:space="preserve">Елементи електричних схем (кабель ШВВП, коробки канал, розетка)</t>
  </si>
  <si>
    <t xml:space="preserve">31220000-4 — Елементи електричних схем</t>
  </si>
  <si>
    <t xml:space="preserve">UA-2021-11-19-013237-a</t>
  </si>
  <si>
    <t xml:space="preserve">Запасні частини для автомобілів</t>
  </si>
  <si>
    <t xml:space="preserve">ТКАЧ РУСЛАН АНАТОЛІЙОВИЧ</t>
  </si>
  <si>
    <t xml:space="preserve">UA-2021-11-19-013414-a</t>
  </si>
  <si>
    <t xml:space="preserve">Друковані бланки</t>
  </si>
  <si>
    <t xml:space="preserve">22820000-4 — Бланки</t>
  </si>
  <si>
    <t xml:space="preserve">РУДЕНКО ТЕТЯНА ІВАНІВНА</t>
  </si>
  <si>
    <t xml:space="preserve">UA-2021-11-19-013591-a</t>
  </si>
  <si>
    <t xml:space="preserve">Мішок патологоанатомічний</t>
  </si>
  <si>
    <t xml:space="preserve">33920000-5: Обладнання та приладдя для розтину</t>
  </si>
  <si>
    <t xml:space="preserve">UA-2021-11-22-014344-a</t>
  </si>
  <si>
    <t xml:space="preserve">Маршрутизатор TP-Link TL-WR940N 300 Мбіт бездротовий</t>
  </si>
  <si>
    <t xml:space="preserve">32570000-9 — Комунікаційне обладнання</t>
  </si>
  <si>
    <t xml:space="preserve">ТОВАРИСТВО З ОБМЕЖЕНОЮ ВІДПОВІДАЛЬНІСТЮ "ФТД-РИТЕЙЛ"</t>
  </si>
  <si>
    <t xml:space="preserve">UA-2021-11-22-014420-a</t>
  </si>
  <si>
    <t xml:space="preserve">Меблі офісні (столи, тумби, шафи)</t>
  </si>
  <si>
    <t xml:space="preserve">39120000-9 — Столи, серванти, письмові столи та книжкові шафи</t>
  </si>
  <si>
    <t xml:space="preserve">UA-2021-11-25-014263-a</t>
  </si>
  <si>
    <t xml:space="preserve">Послуги з надання консультацій</t>
  </si>
  <si>
    <t xml:space="preserve">72310000-1: Послуги з обробки даних</t>
  </si>
  <si>
    <t xml:space="preserve">ТОВАРИСТВО З ОБМЕЖЕНОЮ ВІДПОВІДАЛЬНІСТЮ "АЙТІ ІМПЛЕМЕНТ"</t>
  </si>
  <si>
    <t xml:space="preserve">42232777</t>
  </si>
  <si>
    <t xml:space="preserve">UA-2021-11-25-014559-a</t>
  </si>
  <si>
    <t xml:space="preserve">Консультаційні послуги (навчання замовника способам та методам аналізу звітів НСЗУ та дашбордів МІС)</t>
  </si>
  <si>
    <t xml:space="preserve">72220000-3 — Консультаційні послуги з питань систем та з технічних питань</t>
  </si>
  <si>
    <t xml:space="preserve">UA-2021-11-24-012619-a</t>
  </si>
  <si>
    <t xml:space="preserve">Шапочка з нетканого матеріалу , нестерильна</t>
  </si>
  <si>
    <t xml:space="preserve">ТОВАРИСТВО З ОБМЕЖЕНОЮ ВІДПОВІДАЛЬНІСТЮ "ТРИАМЕД ГРУП"</t>
  </si>
  <si>
    <t xml:space="preserve">UA-2021-11-25-003066-a</t>
  </si>
  <si>
    <t xml:space="preserve">Освітні послуги (навчання лікаря)</t>
  </si>
  <si>
    <t xml:space="preserve">UA-2021-11-25-012797-a</t>
  </si>
  <si>
    <t xml:space="preserve">Лікарські препарати (Левоцин-Н)</t>
  </si>
  <si>
    <t xml:space="preserve">ТОВАРИСТВО З ОБМЕЖЕНОЮ ВІДПОВІДАЛЬНІСТЮ "ФАРМАСЕЛ"</t>
  </si>
  <si>
    <t xml:space="preserve">UA-2021-11-26-013931-a</t>
  </si>
  <si>
    <t xml:space="preserve">ТОЛСТУНОВ ВОЛОДИМИР ОЛЕКСІЙОВИЧ</t>
  </si>
  <si>
    <t xml:space="preserve">UA-2021-11-29-015024-c</t>
  </si>
  <si>
    <t xml:space="preserve">Спирт етиловий 70%, спирт етиловий 96%, вата нестерильна</t>
  </si>
  <si>
    <t xml:space="preserve">24320000-3 — Основні органічні хімічні речовини</t>
  </si>
  <si>
    <t xml:space="preserve">UA-2021-11-30-002920-c</t>
  </si>
  <si>
    <t xml:space="preserve">Бензин А-92 (по талонах номіналом 10,15, 20 л)</t>
  </si>
  <si>
    <t xml:space="preserve">09130000-9 — Нафта і дистиляти</t>
  </si>
  <si>
    <t xml:space="preserve">ПРИВАТНЕ ВИРОБНИЧО-КОМЕРЦІЙНЕ ПІДПРИЄМСТВО"ПРОМТЕХСНАБ"</t>
  </si>
  <si>
    <t xml:space="preserve">UA-2021-12-07-016840-c</t>
  </si>
  <si>
    <t xml:space="preserve">Водонагрівач ТЕРМОПАН VIT 50 л</t>
  </si>
  <si>
    <t xml:space="preserve">UA-2021-12-07-017079-c</t>
  </si>
  <si>
    <t xml:space="preserve">Левоцин-Н розчин для інфузій 500 мг/100мл 100 мл</t>
  </si>
  <si>
    <t xml:space="preserve">UA-2021-12-07-018832-c</t>
  </si>
  <si>
    <t xml:space="preserve">Овочі (капуста, цибуля, морква, буряк)</t>
  </si>
  <si>
    <t xml:space="preserve">03220000-9: Овочі, фрукти та горіхи
</t>
  </si>
  <si>
    <t xml:space="preserve">ОХОНЬКО ГАЛИНА ВАСИЛІВНА</t>
  </si>
  <si>
    <t xml:space="preserve">UA-2021-12-07-018846-c</t>
  </si>
  <si>
    <t xml:space="preserve">Макаронні вироби</t>
  </si>
  <si>
    <t xml:space="preserve">15850000-1 — Макаронні вироби</t>
  </si>
  <si>
    <t xml:space="preserve">UA-2021-12-07-018887-c</t>
  </si>
  <si>
    <t xml:space="preserve">Крупи (рис (круглий), пшоно, перлова крупа)</t>
  </si>
  <si>
    <t xml:space="preserve">15610000-7 — Продукція борошномельно-круп'яної промисловості</t>
  </si>
  <si>
    <t xml:space="preserve">UA-2021-12-08-005498-c</t>
  </si>
  <si>
    <t xml:space="preserve">Томатна паста</t>
  </si>
  <si>
    <t xml:space="preserve">15330000-0: Оброблені фрукти та овочі</t>
  </si>
  <si>
    <t xml:space="preserve">ЛІСОВИЙ ВАДИМ ГРИГОРІЙОВИЧ</t>
  </si>
  <si>
    <t xml:space="preserve">UA-2021-12-08-005775-c</t>
  </si>
  <si>
    <t xml:space="preserve">Окорочка курині</t>
  </si>
  <si>
    <t xml:space="preserve">15110000-2 — М’ясо</t>
  </si>
  <si>
    <t xml:space="preserve">UA-2021-12-08-005977-c</t>
  </si>
  <si>
    <t xml:space="preserve">Чай чорний</t>
  </si>
  <si>
    <t xml:space="preserve">15860000-4: Кава, чай та супутня продукція
</t>
  </si>
  <si>
    <t xml:space="preserve">UA-2021-12-08-007545-c</t>
  </si>
  <si>
    <t xml:space="preserve">Сіль харчова</t>
  </si>
  <si>
    <t xml:space="preserve">15870000-7 — Заправки та приправи</t>
  </si>
  <si>
    <t xml:space="preserve">UA-2021-11-17-014577-a</t>
  </si>
  <si>
    <t xml:space="preserve">31520000-7: Світильники та освітлювальна арматура</t>
  </si>
  <si>
    <t xml:space="preserve">ТОВАРИСТВО З ОБМЕЖЕНОЮ ВІДПОВІДАЛЬНІСТЮ "КАБЕЛЬНІ-ТЕХНОЛОГІЇ"</t>
  </si>
  <si>
    <t xml:space="preserve">UA-2021-11-18-014260-a</t>
  </si>
  <si>
    <t xml:space="preserve">Автошини 185/75 R16C БЦ-24 Росава (всесезонні)</t>
  </si>
  <si>
    <t xml:space="preserve">34350000-5 — Шини для транспортних засобів великої та малої тоннажності</t>
  </si>
  <si>
    <t xml:space="preserve">UA-2021-12-10-006963-c</t>
  </si>
  <si>
    <t xml:space="preserve">Розробка проєктно-кошторисної документації на виконання робіт по об’єкту: «Реконструкція мережі медичного киснепостачання КП «Центральна міська лікарня Покровської міської ради Дніпропетровської області» за адресою: вл.Медична,19, м. Покров Дніпропетровської області»</t>
  </si>
  <si>
    <t xml:space="preserve">71220000-6: Послуги з архітектурного проектування</t>
  </si>
  <si>
    <t xml:space="preserve">БУТОРІНА ЮЛІЯ АНАТОЛІЇВНА</t>
  </si>
  <si>
    <t xml:space="preserve">UA-2021-12-22-020708-c</t>
  </si>
  <si>
    <t xml:space="preserve">65110000-7 — Розподіл води</t>
  </si>
  <si>
    <t xml:space="preserve">UA-2021-12-23-005443-c</t>
  </si>
  <si>
    <t xml:space="preserve">Лікарські засоби (вінпоцетин-Дарниця, ксантинолу нікотинат, бинт марлевий нестерильний)</t>
  </si>
  <si>
    <t xml:space="preserve">UA-2021-12-23-005918-c</t>
  </si>
  <si>
    <t xml:space="preserve">Розхідні матеріали для надання допомоги хворим на Covid-19 (шприц ін"єкційний 20 мл, шприц ін"єкційний 5 мл, пристрій для вливання кровозамінників та інфузійних розчинів ПР)</t>
  </si>
  <si>
    <t xml:space="preserve">UA-2021-12-23-017875-c</t>
  </si>
  <si>
    <t xml:space="preserve">Лікарські засоби для лікування хворих на COVID-19</t>
  </si>
  <si>
    <t xml:space="preserve">UA-2021-12-28-003507-c</t>
  </si>
  <si>
    <t xml:space="preserve">Навчання персоналу в сфері використання джерел іонізуючого випромінювання</t>
  </si>
  <si>
    <t xml:space="preserve">ТОВАРИСТВО З ОБМЕЖЕНОЮ ВІДПОВІДАЛЬНІСТЮ "УКРАЇНСЬКИЙ НАУКОВО-ТЕХНІЧНИЙ ЦЕНТР МЕДИЧНОЇ РАДІОЛОГІЇ"</t>
  </si>
  <si>
    <t xml:space="preserve">UA-2021-12-29-013714-c</t>
  </si>
  <si>
    <t xml:space="preserve">UA-2021-10-01-003670-a</t>
  </si>
  <si>
    <t xml:space="preserve">Підготовка та видача юридичним і фізичним особам в установленому порядку технічних умов на проведення інженерних робіт на землях водного фонду на об’єктах меліоративних систем</t>
  </si>
  <si>
    <t xml:space="preserve">71240000-2</t>
  </si>
  <si>
    <t xml:space="preserve">УЖКГ та будівництва</t>
  </si>
  <si>
    <t xml:space="preserve">34611037</t>
  </si>
  <si>
    <t xml:space="preserve">РОВР у Дніпропетровській обл.</t>
  </si>
  <si>
    <t xml:space="preserve">UA-2021-10-06-000168-c</t>
  </si>
  <si>
    <t xml:space="preserve">«Поточний ремонт асфальтобетонного покриття (закладення тріщин та швів) по вул. Незалежності в м. Покров Дніпропетровської області»</t>
  </si>
  <si>
    <t xml:space="preserve">45230000-8</t>
  </si>
  <si>
    <t xml:space="preserve">ПП «Купол»</t>
  </si>
  <si>
    <t xml:space="preserve">UA-2021-10-06-000825-b</t>
  </si>
  <si>
    <t xml:space="preserve">«Поточний ремонт асфальтобетонного покриття (закладення тріщин та швів) по вул. Г. Тикви в м. Покров Дніпропетровської області»</t>
  </si>
  <si>
    <t xml:space="preserve">UA-2021-10-06-000352-a</t>
  </si>
  <si>
    <t xml:space="preserve">«Поточний ремонт асфальтобетонного покриття (закладення тріщин та швів) по вул. Медична в м. Покров Дніпропетровської області»</t>
  </si>
  <si>
    <t xml:space="preserve">UA-2021-10-06-000371-a</t>
  </si>
  <si>
    <t xml:space="preserve">«Поточний ремонт асфальтобетонного покриття (закладення тріщин та швів) по вул. Зонова в м. Покров Дніпропетровської області»</t>
  </si>
  <si>
    <t xml:space="preserve">UA-2021-10-06-002183-b</t>
  </si>
  <si>
    <t xml:space="preserve">«Поточний ремонт асфальтобетонного покриття (закладення тріщин та швів) по вул. Г. України в м. Покров Дніпропетровської області»</t>
  </si>
  <si>
    <t xml:space="preserve">UA-2021-10-18-001698-b</t>
  </si>
  <si>
    <t xml:space="preserve">«Теплова енергія»</t>
  </si>
  <si>
    <t xml:space="preserve">09320000-8</t>
  </si>
  <si>
    <t xml:space="preserve">ТОВ «Укртехресурс»</t>
  </si>
  <si>
    <t xml:space="preserve">UA-2021-10-20-001326-a</t>
  </si>
  <si>
    <t xml:space="preserve">Інформаційно-консультаційні послуги по проведенню вебінару на тему «Особливості визначення вартості проектно-вишукувальних робіт та експертизи з урахуванням реформ нормативного законодавства»</t>
  </si>
  <si>
    <t xml:space="preserve">80510000-2</t>
  </si>
  <si>
    <t xml:space="preserve">ПП «Металомонтаж»</t>
  </si>
  <si>
    <t xml:space="preserve">UA-2021-11-01-000594-c</t>
  </si>
  <si>
    <t xml:space="preserve">«Папір для друку ZOOM А4, 80 г/м², 500 арк., білий»</t>
  </si>
  <si>
    <t xml:space="preserve">30190000-7</t>
  </si>
  <si>
    <t xml:space="preserve"> ФОП Петров В.В.</t>
  </si>
  <si>
    <t xml:space="preserve">UA-2021-11-01-003940-a</t>
  </si>
  <si>
    <t xml:space="preserve">«Послуги з заправки картриджів»</t>
  </si>
  <si>
    <t xml:space="preserve">50310000-1</t>
  </si>
  <si>
    <t xml:space="preserve">ФОП Довган О.Ю.</t>
  </si>
  <si>
    <t xml:space="preserve">UA-2021-11-02-002277-c</t>
  </si>
  <si>
    <t xml:space="preserve">Виконання технічного нагляду по об’єкту: «Реконструкція міжквартальної території з улаштуванням тротуарів та велодоріжок в 36 мікрорайоні м. Покров Дніпропетровської області»</t>
  </si>
  <si>
    <t xml:space="preserve">ТОВ  «БУД-ТЕХНАГЛЯД»</t>
  </si>
  <si>
    <t xml:space="preserve">UA-2021-11-02-002297-c</t>
  </si>
  <si>
    <t xml:space="preserve">Виконання технічного нагляду по об’єкту: «Капітальний ремонт тротуару по вул. Героїв України (ділянка від вул. Центральна до вул. Партизанська) в м. Покров Дніпропетровської області»</t>
  </si>
  <si>
    <t xml:space="preserve">UA-2021-11-02-002604-b</t>
  </si>
  <si>
    <t xml:space="preserve">Здійснення авторського нагляду за роботами по об’єкту Замовника: «Реконструкція міжквартальної території з улаштуванням тротуарів та велодоріжок в 36 мікрорайоні м. Покров Дніпропетровської області»</t>
  </si>
  <si>
    <t xml:space="preserve">71520000-9</t>
  </si>
  <si>
    <t xml:space="preserve">ТОВ «ДНІПРОПРОЕКТ»</t>
  </si>
  <si>
    <t xml:space="preserve">UA-2021-11-02-012373-a</t>
  </si>
  <si>
    <t xml:space="preserve">Здійснення авторського нагляду за роботами по об’єкту Замовника: «Капітальний ремонт тротуару по вул. Героїв України (ділянка від вул. Центральна до вул. Партизанська) в м. Покров Дніпропетровської області»</t>
  </si>
  <si>
    <t xml:space="preserve">ТОВ «СІМ ПРОЕКТ+»</t>
  </si>
  <si>
    <t xml:space="preserve">UA-2021-11-03-001834-c</t>
  </si>
  <si>
    <t xml:space="preserve">«Вимірювальна техніка»</t>
  </si>
  <si>
    <t xml:space="preserve">38330000-7 </t>
  </si>
  <si>
    <t xml:space="preserve">ТОВ «ПРОФІЦЕНТР КВІТКА»</t>
  </si>
  <si>
    <t xml:space="preserve">UA-2021-11-09-001047-b</t>
  </si>
  <si>
    <t xml:space="preserve">«Засіб криптографічного захисту інформації - «Ключ електронний «Алмаз-1К»» з ліцензією на збірку комп’ютерних програм «Програмний комплекс користувача центру сертифікації ключів «ІІТ Користувач ЦСК-1»</t>
  </si>
  <si>
    <t xml:space="preserve">30230000-0 </t>
  </si>
  <si>
    <t xml:space="preserve">Приватне акціонерне товариство «Інститут інформаційних технологій»</t>
  </si>
  <si>
    <t xml:space="preserve">UA-P-2021-11-10-008235-a</t>
  </si>
  <si>
    <t xml:space="preserve">Виконання технічного нагляду на об’єкті: «Поточний дрібний (ямковий) ремонт проїзної частини автомобільної дороги по вул. Зонова в м. Покров Дніпропетровської області»</t>
  </si>
  <si>
    <t xml:space="preserve">ФОП Шаталов Ю.В.</t>
  </si>
  <si>
    <t xml:space="preserve">UA-P-2021-11-10-008311-a</t>
  </si>
  <si>
    <t xml:space="preserve">Виконання технічного нагляду на об’єкті: «Поточний дрібний (ямковий) ремонт проїзної частини автомобільної дороги по вул. П.Мирного в м. Покров Дніпропетровської області»</t>
  </si>
  <si>
    <t xml:space="preserve">UA-2021-11-25-001337-c</t>
  </si>
  <si>
    <t xml:space="preserve">«Навчання та перевірка знань: Правила безпечної експлуатації електроустановок cпоживачів з видачею посвідчення встановленого зразка»</t>
  </si>
  <si>
    <t xml:space="preserve">Державне підприємство "Придніпровський експертно-технічний центр Держпраці"</t>
  </si>
  <si>
    <t xml:space="preserve">UA-2021-11-29-000217-b</t>
  </si>
  <si>
    <t xml:space="preserve">Розробка проєктно – кошторисної документації по об’єкту: «Капітальний ремонт м’якої покрівлі житлового будинку № 7 по вул. Затишна в м. Покров Дніпропетровської області»</t>
  </si>
  <si>
    <t xml:space="preserve">71330000-0</t>
  </si>
  <si>
    <t xml:space="preserve">ФОП Сидоренко Ігор Юрійович</t>
  </si>
  <si>
    <t xml:space="preserve">UA-2021-11-29-000511-c</t>
  </si>
  <si>
    <t xml:space="preserve">Розробка проєктно – кошторисної документації по об’єкту: «Капітальний ремонт м’якої покрівлі житлового будинку № 13 по вул. Затишна в м. Покров Дніпропетровської області»</t>
  </si>
  <si>
    <t xml:space="preserve">UA-2021-11-29-000154-a</t>
  </si>
  <si>
    <t xml:space="preserve">Розробка проєктно – кошторисної документації по об’єкту: «Капітальний ремонт м’якої покрівлі житлового будинку № 10 по вул. Зонова в м. Покров Дніпропетровської області»</t>
  </si>
  <si>
    <t xml:space="preserve">UA-2021-11-29-000271-b</t>
  </si>
  <si>
    <t xml:space="preserve">Розробка проєктно – кошторисної документації по об’єкту: «Капітальний ремонт м’якої покрівлі житлового будинку № 34 по вул. Зонова в м. Покров Дніпропетровської області»</t>
  </si>
  <si>
    <t xml:space="preserve">UA-2021-11-29-000180-a</t>
  </si>
  <si>
    <t xml:space="preserve">Розробка проєктно – кошторисної документації по об’єкту: «Капітальний ремонт м’якої покрівлі житлового будинку № 18 по вул. Курчатова в м. Покров Дніпропетровської області»</t>
  </si>
  <si>
    <t xml:space="preserve">UA-2021-11-29-000196-a</t>
  </si>
  <si>
    <t xml:space="preserve">Розробка проєктно – кошторисної документації по об’єкту: «Капітальний ремонт м’якої покрівлі житлового будинку № 85 по вул. Центральна в м. Покров Дніпропетровської області»</t>
  </si>
  <si>
    <t xml:space="preserve">UA-2021-11-29-000523-a</t>
  </si>
  <si>
    <t xml:space="preserve">Розробка проєктно – кошторисної документації по об’єкту: «Капітальний ремонт м’якої покрівлі житлового будинку № 8 по вул. Героїв Чорнобиля в м. Покров Дніпропетровської області»</t>
  </si>
  <si>
    <t xml:space="preserve">UA-2021-11-29-001780-c</t>
  </si>
  <si>
    <t xml:space="preserve">Розробка проєктно – кошторисної документації по об’єкту: «Капітальний ремонт м’якої покрівлі житлового будинку № 1 по вул. Героїв України в м. Покров Дніпропетровської області»</t>
  </si>
  <si>
    <t xml:space="preserve">UA-2021-11-29-000870-b</t>
  </si>
  <si>
    <t xml:space="preserve">Розробка проєктно – кошторисної документації по об’єкту: «Капітальний ремонт м’якої покрівлі житлового будинку № 2 по вул. Героїв України в м. Покров Дніпропетровської області»</t>
  </si>
  <si>
    <t xml:space="preserve">UA-2021-11-29-000561-a</t>
  </si>
  <si>
    <t xml:space="preserve">Розробка проєктно – кошторисної документації по об’єкту: «Капітальний ремонт м’якої покрівлі житлового будинку № 53 по вул. Торгова в м. Покров Дніпропетровської області»</t>
  </si>
  <si>
    <t xml:space="preserve">UA-2021-11-29-000573-a</t>
  </si>
  <si>
    <t xml:space="preserve">Розробка проєктно – кошторисної документації по об’єкту: «Капітальний ремонт м’якої покрівлі житлового будинку № 55 по вул. Торгова в м. Покров Дніпропетровської області»</t>
  </si>
  <si>
    <t xml:space="preserve">UA-2021-11-29-000957-b</t>
  </si>
  <si>
    <t xml:space="preserve">Розробка проєктно – кошторисної документації по об’єкту: «Капітальний ремонт м’якої покрівлі житлового будинку № 58 (1-6п.п.) по вул. Торгова в м. Покров Дніпропетровської області»</t>
  </si>
  <si>
    <t xml:space="preserve">UA-2021-11-29-001953-b</t>
  </si>
  <si>
    <t xml:space="preserve">Розробка проєктно – кошторисної документації по об’єкту: «Капітальний ремонт м’якої покрівлі житлового будинку № 26 по вул. Г.Тикви в м. Покров Дніпропетровської області»</t>
  </si>
  <si>
    <t xml:space="preserve">UA-2021-11-29-001262-a</t>
  </si>
  <si>
    <t xml:space="preserve">Розробка проєктно – кошторисної документації по об’єкту: «Капітальний ремонт м’якої покрівлі житлового будинку № 30 по вул. Г.Тикви в м. Покров Дніпропетровської області»</t>
  </si>
  <si>
    <t xml:space="preserve">UA-2021-11-29-002079-b</t>
  </si>
  <si>
    <t xml:space="preserve">Розробка проєктно – кошторисної документації по об’єкту: «Капітальний ремонт м’якої покрівлі житлового будинку № 4 по вул. Л.Чайкіної в м. Покров Дніпропетровської області»</t>
  </si>
  <si>
    <t xml:space="preserve">UA-2021-11-29-001477-a</t>
  </si>
  <si>
    <t xml:space="preserve">Розробка проєктно – кошторисної документації по об’єкту: «Капітальний ремонт м’якої покрівлі житлового будинку № 19 по вул. Л.Чайкіної в м. Покров Дніпропетровської області»</t>
  </si>
  <si>
    <t xml:space="preserve">UA-2021-11-29-002132-b</t>
  </si>
  <si>
    <t xml:space="preserve">Розробка проєктно – кошторисної документації по об’єкту: «Капітальний ремонт м’якої покрівлі житлового будинку № 21 по вул. Л.Чайкіної в м. Покров Дніпропетровської області»</t>
  </si>
  <si>
    <t xml:space="preserve">UA-2021-11-29-002149-b</t>
  </si>
  <si>
    <t xml:space="preserve">Розробка проєктно – кошторисної документації по об’єкту: «Капітальний ремонт м’якої покрівлі житлового будинку № 35 по вул. Л.Чайкіної в м. Покров Дніпропетровської області»</t>
  </si>
  <si>
    <t xml:space="preserve">UA-2021-12-01-004894-c</t>
  </si>
  <si>
    <t xml:space="preserve">Коригування проектно-кошторисної документації та отримання позитивної експертної оцінки по об’єкту: «Будівництво водогону для підключення с. Шолохове Нікопольського району до мережі МКП "Покровводоканал" м. Покров Дніпропетровської області». Коригування</t>
  </si>
  <si>
    <t xml:space="preserve">45220000-5</t>
  </si>
  <si>
    <t xml:space="preserve">ТОВ «ДОРБУД-ПРОЕКТ»</t>
  </si>
  <si>
    <t xml:space="preserve">UA-2021-12-02-005301-b</t>
  </si>
  <si>
    <t xml:space="preserve">Розробка проектно – кошторисної документації: «Капітальний ремонт внутрішньоквартальної дороги житлових будинків № 4, 6 по вул. Курчатова в м. Покров Дніпропетровської області»</t>
  </si>
  <si>
    <t xml:space="preserve">ТОВ фірма «СБ-Комплекс»</t>
  </si>
  <si>
    <t xml:space="preserve">UA-2021-12-02-005304-b</t>
  </si>
  <si>
    <t xml:space="preserve">Розробка проектно – кошторисної документації: «Капітальний ремонт внутрішньоквартальної дороги житлових будинків № 8, 10 по вул. Курчатова в м. Покров Дніпропетровської області»</t>
  </si>
  <si>
    <t xml:space="preserve">UA-2021-12-02-002501-a</t>
  </si>
  <si>
    <t xml:space="preserve">Розробка проектно – кошторисної документації: «Капітальний ремонт вимощень та тротуарів житлового будинку № 8 по вул. Курчатова в м. Покров Дніпропетровської області»</t>
  </si>
  <si>
    <t xml:space="preserve">UA-2021-12-02-012016-c</t>
  </si>
  <si>
    <t xml:space="preserve">Розробка проектно – кошторисної документації: «Капітальний ремонт вимощень та тротуарів житлового будинку № 6 по вул. Курчатова в м. Покров Дніпропетровської області»</t>
  </si>
  <si>
    <t xml:space="preserve">UA-2021-12-02-012036-c</t>
  </si>
  <si>
    <t xml:space="preserve">Розробка проектно – кошторисної документації: «Капітальний ремонт вимощень та тротуарів житлового будинку № 10 по вул. Курчатова в м. Покров Дніпропетровської області»</t>
  </si>
  <si>
    <t xml:space="preserve">UA-2021-12-02-012101-c</t>
  </si>
  <si>
    <t xml:space="preserve">Розробка проектно – кошторисної документації: «Капітальний ремонт вимощень та тротуарів житлового будинку № 4 по вул. Курчатова в м. Покров Дніпропетровської області»</t>
  </si>
  <si>
    <t xml:space="preserve">UA-2021-12-08-003909-b</t>
  </si>
  <si>
    <t xml:space="preserve">Технічна інвентаризація по об’єкту: «Будівництво водогону для підключення с. Шолохове Нікопольського району до мережі МКП "Покровводоканал" м. Покров Дніпропетровської області». Коригування</t>
  </si>
  <si>
    <t xml:space="preserve">ФОП Куляк Алла Юріївна</t>
  </si>
  <si>
    <t xml:space="preserve">UA-2021-12-09-002613-a</t>
  </si>
  <si>
    <t xml:space="preserve">UA-2021-12-10-007474-c</t>
  </si>
  <si>
    <t xml:space="preserve">«Канцелярське приладдя»</t>
  </si>
  <si>
    <t xml:space="preserve">30190000-7 </t>
  </si>
  <si>
    <t xml:space="preserve">ФОП Семак І.В.</t>
  </si>
  <si>
    <t xml:space="preserve">UA-2021-12-13-004345-a</t>
  </si>
  <si>
    <t xml:space="preserve">UA-2021-12-14-011892-c</t>
  </si>
  <si>
    <t xml:space="preserve">«Послуги КЕП»</t>
  </si>
  <si>
    <t xml:space="preserve">72310000-1 </t>
  </si>
  <si>
    <t xml:space="preserve">ТОВ «Центр сертифікації ключів «Україна»</t>
  </si>
  <si>
    <t xml:space="preserve">UA-2021-10-05-007020-b</t>
  </si>
  <si>
    <t xml:space="preserve">Заправка картриджа НР М12А для потреб клубу.</t>
  </si>
  <si>
    <t xml:space="preserve"> 50310000-1</t>
  </si>
  <si>
    <t xml:space="preserve">      Відділ культури,туризму,національностей і релігій виконавчого комітету  Покровської міської ради Дніпропетровської області</t>
  </si>
  <si>
    <t xml:space="preserve">05534380</t>
  </si>
  <si>
    <t xml:space="preserve">ФОП Довган Олексій Юрійович</t>
  </si>
  <si>
    <t xml:space="preserve">2950016334</t>
  </si>
  <si>
    <t xml:space="preserve">150.00</t>
  </si>
  <si>
    <t xml:space="preserve">UA-2021-10-05-000663-b</t>
  </si>
  <si>
    <t xml:space="preserve">Для проведення заходів з відзначення 65-ї річниці міста Покров придбано піротехнічні заряди .</t>
  </si>
  <si>
    <t xml:space="preserve">24610000-3</t>
  </si>
  <si>
    <t xml:space="preserve"> ФОП Бочаров Герман Борисович</t>
  </si>
  <si>
    <t xml:space="preserve">2252418110</t>
  </si>
  <si>
    <t xml:space="preserve">49 950.00 </t>
  </si>
  <si>
    <t xml:space="preserve"> UA-2021-10-05-001804-b</t>
  </si>
  <si>
    <t xml:space="preserve">Для проведення заходів з відзначення 65-ї річниці міста Покров.Запуск піротехнічної установки.</t>
  </si>
  <si>
    <t xml:space="preserve">92360000-2</t>
  </si>
  <si>
    <t xml:space="preserve">49 930.00 </t>
  </si>
  <si>
    <t xml:space="preserve">UA-2021-10-05-003146-b</t>
  </si>
  <si>
    <t xml:space="preserve">Прокат звукового устаткування для проведення заходів з відзначення 65-ї річниці міста Покров</t>
  </si>
  <si>
    <t xml:space="preserve">92370000-5</t>
  </si>
  <si>
    <t xml:space="preserve">ФОП Терещенко М.В.</t>
  </si>
  <si>
    <t xml:space="preserve">2865322278</t>
  </si>
  <si>
    <t xml:space="preserve">41 800.00</t>
  </si>
  <si>
    <t xml:space="preserve">UA-2021-10-05-002217-b</t>
  </si>
  <si>
    <t xml:space="preserve">Організація театрального дійства в рамках заходу з нагоди святкування 65-ї річниці міста Покров</t>
  </si>
  <si>
    <t xml:space="preserve">92340000-6</t>
  </si>
  <si>
    <t xml:space="preserve">30 532.00</t>
  </si>
  <si>
    <t xml:space="preserve">UA-2021-10-05-002359-b</t>
  </si>
  <si>
    <t xml:space="preserve">Монтаж та демонтаж звукового устаткування для проведення заходів з відзначення 65-ї річниці міста Покров</t>
  </si>
  <si>
    <t xml:space="preserve">45310000-3</t>
  </si>
  <si>
    <t xml:space="preserve">39 700.00</t>
  </si>
  <si>
    <t xml:space="preserve">UA-2021-10-05-002563-b</t>
  </si>
  <si>
    <t xml:space="preserve">Монтаж та демонтаж освітлювального та сценічного устаткування для проведення заходів з відзначення 65-ї річниці міста Покров</t>
  </si>
  <si>
    <t xml:space="preserve">79950000-8</t>
  </si>
  <si>
    <t xml:space="preserve">45 563.00</t>
  </si>
  <si>
    <t xml:space="preserve"> UA-2021-10-05-002715-b</t>
  </si>
  <si>
    <t xml:space="preserve">Прокат сценічного та освітлювального устаткування для проведення заходів з відзначення 65-ї річниці міста Покров</t>
  </si>
  <si>
    <t xml:space="preserve">51310000-8</t>
  </si>
  <si>
    <t xml:space="preserve">43 150.00 </t>
  </si>
  <si>
    <t xml:space="preserve">UA-2021-10-07-002240-b</t>
  </si>
  <si>
    <t xml:space="preserve">Участь артиста у публічному заході - з відзначення 65-ї річниці міста Покров .</t>
  </si>
  <si>
    <t xml:space="preserve">92310000-7</t>
  </si>
  <si>
    <t xml:space="preserve">  ФОП Скрипка Олег Юрійович</t>
  </si>
  <si>
    <t xml:space="preserve">2352017753</t>
  </si>
  <si>
    <t xml:space="preserve">48 387.00</t>
  </si>
  <si>
    <t xml:space="preserve">UA-2021-10-07-000795-b</t>
  </si>
  <si>
    <t xml:space="preserve">Послуги із підготовки святкової програми та проведення виступу артиста- для відзначення 65-ї річниці міста Покров</t>
  </si>
  <si>
    <t xml:space="preserve">3082721695</t>
  </si>
  <si>
    <t xml:space="preserve">ФОП Ковтонюк Геннадій Олександрович </t>
  </si>
  <si>
    <t xml:space="preserve">20 000.00</t>
  </si>
  <si>
    <t xml:space="preserve">UA-2021-10-08-000534-b</t>
  </si>
  <si>
    <t xml:space="preserve">Для проведення заходів з відзначення 65-ї річниці міста Покров придбано повітряні кульки.</t>
  </si>
  <si>
    <t xml:space="preserve">37520000-9</t>
  </si>
  <si>
    <t xml:space="preserve">ФОП Волчков С.А. </t>
  </si>
  <si>
    <t xml:space="preserve">2195000311</t>
  </si>
  <si>
    <t xml:space="preserve">3 550.00</t>
  </si>
  <si>
    <t xml:space="preserve">UA-2021-10-18-006424-c</t>
  </si>
  <si>
    <t xml:space="preserve">Для проведення заходів з відзначення 65-ї річниці міста Покров придбано канцелярське приладдя.</t>
  </si>
  <si>
    <t xml:space="preserve"> ФОП Ревука Н.М.</t>
  </si>
  <si>
    <t xml:space="preserve">1 500.00</t>
  </si>
  <si>
    <t xml:space="preserve">UA-2021-11-09-007917-b</t>
  </si>
  <si>
    <t xml:space="preserve">Для господарських потреб бібліотеки придбано Світильник Леброн L-Т8-LP 36W ,Настільна лампа LED .</t>
  </si>
  <si>
    <t xml:space="preserve"> 31520000-7</t>
  </si>
  <si>
    <t xml:space="preserve">ФОП Доценко Євген Олегович</t>
  </si>
  <si>
    <t xml:space="preserve">3265114053</t>
  </si>
  <si>
    <t xml:space="preserve">1 095.00</t>
  </si>
  <si>
    <t xml:space="preserve"> UA-2021-11-19-001049-a</t>
  </si>
  <si>
    <t xml:space="preserve">Для потреб бібліотеки придбано печатка кругла+ оснастка.</t>
  </si>
  <si>
    <t xml:space="preserve">ФОП Голик Н.В.</t>
  </si>
  <si>
    <t xml:space="preserve">320.00 </t>
  </si>
  <si>
    <t xml:space="preserve">UA-2021-11-19-001188-a</t>
  </si>
  <si>
    <t xml:space="preserve">Для потреб ДМШ придбано штамн+оснастка,печатка кругла+оснастка.</t>
  </si>
  <si>
    <t xml:space="preserve">1 740.00</t>
  </si>
  <si>
    <t xml:space="preserve"> UA-2021-11-19-001865-a</t>
  </si>
  <si>
    <t xml:space="preserve">Для реалізації «Міської програми з організації дозвілля громади міста «Покров вечірній на 2019 – 2021 р.р.» в м. Покров придбано канцелярське приладдя.</t>
  </si>
  <si>
    <t xml:space="preserve">ФОП Ревука Н.М.</t>
  </si>
  <si>
    <t xml:space="preserve">1 800.00 </t>
  </si>
  <si>
    <t xml:space="preserve">UA-2021-11-22-001297-a</t>
  </si>
  <si>
    <t xml:space="preserve">Періодичні видання для поповнення бібліотечного фонду .</t>
  </si>
  <si>
    <t xml:space="preserve">   22210000-5</t>
  </si>
  <si>
    <t xml:space="preserve">  ЮО АТ "УКРПОШТА"</t>
  </si>
  <si>
    <t xml:space="preserve">25771603</t>
  </si>
  <si>
    <t xml:space="preserve">9 903.20</t>
  </si>
  <si>
    <t xml:space="preserve">UA-2021-11-24-002032-a</t>
  </si>
  <si>
    <t xml:space="preserve">Послуги з технічного обслуговування вогнегасників .</t>
  </si>
  <si>
    <t xml:space="preserve">50410000-2</t>
  </si>
  <si>
    <t xml:space="preserve">  ЮО ТОВ"Пожежтехніка"</t>
  </si>
  <si>
    <t xml:space="preserve">7 632.00</t>
  </si>
  <si>
    <t xml:space="preserve">UA-2021-11-24-002256-a</t>
  </si>
  <si>
    <t xml:space="preserve">Послуги з обслуговування офісної техніки (заправка картриджа Samsung СLТ-Y404S ) для потреб бібліотеки .</t>
  </si>
  <si>
    <t xml:space="preserve">ФОП Довгань Олексій Юрійович</t>
  </si>
  <si>
    <t xml:space="preserve">350.00 </t>
  </si>
  <si>
    <t xml:space="preserve">UA-2021-12-02-008739-c</t>
  </si>
  <si>
    <t xml:space="preserve">Для потреб бухгалтерії заправка картриджу Canon MF 3010.</t>
  </si>
  <si>
    <t xml:space="preserve">600.00</t>
  </si>
  <si>
    <t xml:space="preserve"> UA-2021-12-02-008961-c</t>
  </si>
  <si>
    <t xml:space="preserve">Подарунковий пакунок "Пакуночок солодощів"</t>
  </si>
  <si>
    <t xml:space="preserve">18530000-3</t>
  </si>
  <si>
    <t xml:space="preserve">ФОП Мартиновченко Т.Б.</t>
  </si>
  <si>
    <t xml:space="preserve">5 000.00</t>
  </si>
  <si>
    <t xml:space="preserve"> UA-2021-12-03-006025-c</t>
  </si>
  <si>
    <t xml:space="preserve">Для господарських потреб бібліотеки придбано господарчі товари.</t>
  </si>
  <si>
    <t xml:space="preserve">31220000-4</t>
  </si>
  <si>
    <t xml:space="preserve">ФОП Забутной Сергій Анатолійович </t>
  </si>
  <si>
    <t xml:space="preserve">2554205214</t>
  </si>
  <si>
    <t xml:space="preserve">982.00</t>
  </si>
  <si>
    <t xml:space="preserve"> UA-2021-12-03-005756-c</t>
  </si>
  <si>
    <t xml:space="preserve">Комп’ютерна програма "АІС "Місцеві бюджети рівня розпорядника бюджетних коштів".</t>
  </si>
  <si>
    <t xml:space="preserve">72260000-5</t>
  </si>
  <si>
    <t xml:space="preserve">ФОП Іванов Сергій Іванович</t>
  </si>
  <si>
    <t xml:space="preserve">2 735.00</t>
  </si>
  <si>
    <t xml:space="preserve">UA-2021-12-09-008848-c</t>
  </si>
  <si>
    <t xml:space="preserve">Для потреб керівництва і управління придбано канцелярське приладдя.</t>
  </si>
  <si>
    <t xml:space="preserve">ФОП Семак Ірина Володимирівна</t>
  </si>
  <si>
    <t xml:space="preserve">2921305486</t>
  </si>
  <si>
    <t xml:space="preserve">2 500.00</t>
  </si>
  <si>
    <t xml:space="preserve">UA-2021-12-09-009007-c</t>
  </si>
  <si>
    <t xml:space="preserve">Для потреб бухгалтерії  придбано канцелярське приладдя.</t>
  </si>
  <si>
    <t xml:space="preserve">2636.00</t>
  </si>
  <si>
    <t xml:space="preserve">UA-2021-09-14-001078-b</t>
  </si>
  <si>
    <t xml:space="preserve">Для потреб ДШМ заправка картриджу Canon MF 3010.</t>
  </si>
  <si>
    <t xml:space="preserve">200.00</t>
  </si>
  <si>
    <t xml:space="preserve">18440000-5 Капелюхи та головні убори</t>
  </si>
  <si>
    <t xml:space="preserve">КЗ "МГБ "Надія" ПМР ДО"</t>
  </si>
  <si>
    <t xml:space="preserve">43838299</t>
  </si>
  <si>
    <t xml:space="preserve">МЕЛЬНИК КАТЕРИНА МИХАЙЛІВНА</t>
  </si>
  <si>
    <t xml:space="preserve">3325311666</t>
  </si>
  <si>
    <t xml:space="preserve">18310000-5 Спідня білизна</t>
  </si>
  <si>
    <t xml:space="preserve">ЯЛОВИЙ ВІТАЛІЙ МИКОЛАЙОВИЧ</t>
  </si>
  <si>
    <t xml:space="preserve">ХЛЄБНІКОВ ЮРІЙ ОЛЕКСІЙОВИЧ</t>
  </si>
  <si>
    <t xml:space="preserve">18810000-0 Взуття різне, крім спортивного та захисного</t>
  </si>
  <si>
    <t xml:space="preserve">18210000-4 Пальта</t>
  </si>
  <si>
    <t xml:space="preserve">СЕМАК ІРИНА ВОЛОДИМИРІВНА</t>
  </si>
  <si>
    <t xml:space="preserve">33630000-5 Лікарські засоби для лікування дерматологічних захворювань та захворювань опорно-рухового апарату</t>
  </si>
  <si>
    <t xml:space="preserve">ЗЕРНІЙ АНДРІЙ АНАТОЛІЙОВИЧ</t>
  </si>
  <si>
    <t xml:space="preserve">2822500019</t>
  </si>
  <si>
    <t xml:space="preserve">18330000-1 Футболки та сорочки</t>
  </si>
  <si>
    <t xml:space="preserve">18230000-0 Верхній одяг різний</t>
  </si>
  <si>
    <t xml:space="preserve">37810000-9 Приладдя для рукоділля</t>
  </si>
  <si>
    <t xml:space="preserve">42130000-9 Арматура трубопровідна: крани, вентилі, клапани та подібні пристрої</t>
  </si>
  <si>
    <t xml:space="preserve">31220000-4 Елементи електричних схем</t>
  </si>
  <si>
    <t xml:space="preserve">32250000-0 Мобільні телефони</t>
  </si>
  <si>
    <t xml:space="preserve">ПЕТРОВ ВОЛОДИМИР ВОЛОДИМИРОВИЧ</t>
  </si>
  <si>
    <t xml:space="preserve">2795800259</t>
  </si>
  <si>
    <t xml:space="preserve">18820000-3 Спортивне взуття</t>
  </si>
  <si>
    <t xml:space="preserve">33600000-6 Фармацевтична продукція</t>
  </si>
  <si>
    <t xml:space="preserve">ОБЛАСНЕ КОМУНАЛЬНЕ ПІДПРИЄМСТВО "ФАРМАЦІЯ"</t>
  </si>
  <si>
    <t xml:space="preserve">01976358</t>
  </si>
  <si>
    <t xml:space="preserve">37820000-2 Приладдя для образотворчого мистецтва</t>
  </si>
  <si>
    <t xml:space="preserve">18410000-6 Спеціальний одяг</t>
  </si>
  <si>
    <t xml:space="preserve">38410000-2 Лічильні прилади</t>
  </si>
  <si>
    <t xml:space="preserve">31510000-4 Електричні лампи розжарення</t>
  </si>
  <si>
    <t xml:space="preserve">39540000-9 Вироби різні з канату, мотузки, шпагату та сітки</t>
  </si>
  <si>
    <t xml:space="preserve"> UA-2021-10-07-001662-c</t>
  </si>
  <si>
    <t xml:space="preserve">Обробка даних та формування ЕЦП ДК 021:2015: 72310000-1 - Послуги з обробки даних</t>
  </si>
  <si>
    <t xml:space="preserve">72310000-1 - Послуги з обробки даних</t>
  </si>
  <si>
    <t xml:space="preserve">МКП "Покровське виробниче управління водопровідно-каналізаційного господарства"</t>
  </si>
  <si>
    <t xml:space="preserve">ТОВ "ЦЕНТР СЕРТИФІКАЦІЇ КЛЮЧІВ "УКРАЇНА"</t>
  </si>
  <si>
    <t xml:space="preserve">  UA-2021-10-05-002046-a</t>
  </si>
  <si>
    <t xml:space="preserve">Обробка даних та формування КЕП 021:2015: 72310000-1 - Послуги з обробки даних</t>
  </si>
  <si>
    <t xml:space="preserve"> UA-2021-10-05-009764-b</t>
  </si>
  <si>
    <t xml:space="preserve">Програмний комплекс "Варта" ДК 021:2015: 72310000-1 - Послуги з обробки даних</t>
  </si>
  <si>
    <t xml:space="preserve"> UA-2021-10-07-011704-b</t>
  </si>
  <si>
    <t xml:space="preserve">Проведення моніторингу та виконання робіт по зведеної фінансової та статистичної звітності ДК 021:2015: 79210000-9 - Бухгалтерські та аудиторські послуги</t>
  </si>
  <si>
    <t xml:space="preserve">79210000-9 - Бухгалтерські та аудиторські послуги</t>
  </si>
  <si>
    <t xml:space="preserve">ДП Жилком</t>
  </si>
  <si>
    <t xml:space="preserve">32350021</t>
  </si>
  <si>
    <t xml:space="preserve"> UA-2021-10-07-002730-a</t>
  </si>
  <si>
    <t xml:space="preserve">Масло Т-1500 ДК 021:2015: 09210000-4 - Мастильні засоби</t>
  </si>
  <si>
    <t xml:space="preserve">09210000-4 - Мастильні засоби</t>
  </si>
  <si>
    <t xml:space="preserve">ТОВ Компанія Просвіт ЛТД</t>
  </si>
  <si>
    <t xml:space="preserve">35572113</t>
  </si>
  <si>
    <t xml:space="preserve">  UA-2021-10-08-006125-b</t>
  </si>
  <si>
    <t xml:space="preserve">Картридж Canon 725 сумісний за ДК 021:2015: 30125100-2 - Картриджі з тонером</t>
  </si>
  <si>
    <t xml:space="preserve">30120000-6 - Фотокопіювальне та поліграфічне обладнання для офсетного друку</t>
  </si>
  <si>
    <t xml:space="preserve">2657405794</t>
  </si>
  <si>
    <t xml:space="preserve">13.10.2021</t>
  </si>
  <si>
    <t xml:space="preserve"> UA-2021-10-13-012298-b</t>
  </si>
  <si>
    <t xml:space="preserve">Арматура трубопровідна: крани, вентилі, клапани та подібні пристрої ДК 021:2015: 42130000-9 - Арматура трубопровідна: крани, вентилі, клапани та подібні пристрої</t>
  </si>
  <si>
    <t xml:space="preserve">42130000-9 - Арматура трубопровідна: крани, вентилі, клапани та подібні пристрої</t>
  </si>
  <si>
    <t xml:space="preserve">ТОВ БК СІСТЕМС</t>
  </si>
  <si>
    <t xml:space="preserve">43528526</t>
  </si>
  <si>
    <t xml:space="preserve"> UA-2021-10-13-009169-b</t>
  </si>
  <si>
    <t xml:space="preserve">Конструкційні матеріали -  ДК 021:2015: 44110000-4 - Конструкційні матеріали</t>
  </si>
  <si>
    <t xml:space="preserve">44110000-4 - Конструкційні матеріали</t>
  </si>
  <si>
    <t xml:space="preserve">ТОВ ФОРМАТСТРОЙ</t>
  </si>
  <si>
    <t xml:space="preserve">43490922</t>
  </si>
  <si>
    <t xml:space="preserve"> UA-2021-10-13-012300-b</t>
  </si>
  <si>
    <t xml:space="preserve">Продукція для чищення ДК 021:2015: 39830000-9 - Продукція для чищення</t>
  </si>
  <si>
    <t xml:space="preserve">39830000-9 - Продукція для чищення</t>
  </si>
  <si>
    <t xml:space="preserve"> UA-2021-10-13-012308-b</t>
  </si>
  <si>
    <t xml:space="preserve">Печатка кругла та штемпельна подушка ДК 021:2015 30190000-7 - Офісне устаткування та приладдя різне; 30192111-2 - Штемпельні подушки</t>
  </si>
  <si>
    <t xml:space="preserve">30190000-7 - Офісне устаткування та приладдя різне;</t>
  </si>
  <si>
    <t xml:space="preserve">ФОП Бонадига О.В.</t>
  </si>
  <si>
    <t xml:space="preserve">2735708383</t>
  </si>
  <si>
    <t xml:space="preserve">18.10.2021</t>
  </si>
  <si>
    <t xml:space="preserve"> UA-2021-10-18-011264-c</t>
  </si>
  <si>
    <t xml:space="preserve">Запасні частини до вантажних засобів, фургонів та легкових автомобілів ДК 021:2015: 34330000-9 - Запасні частини до вантажних транспортних засобів, фургонів та легкових автомобілів</t>
  </si>
  <si>
    <t xml:space="preserve">34330000-9 - Запасні частини до вантажних транспортних засобів, фургонів та легкових автомобілів</t>
  </si>
  <si>
    <t xml:space="preserve">ТОВ Союзагропостач</t>
  </si>
  <si>
    <t xml:space="preserve">41137353</t>
  </si>
  <si>
    <t xml:space="preserve">19.10.2021</t>
  </si>
  <si>
    <t xml:space="preserve"> UA-2021-10-19-000722-a</t>
  </si>
  <si>
    <t xml:space="preserve">Олива TRESZER для змащування ланцюга і шини ДК 021:2015: 24951000-5 - Змазки та мастильні матеріали</t>
  </si>
  <si>
    <t xml:space="preserve">24951000-5 - Змазки та мастильні матеріали</t>
  </si>
  <si>
    <t xml:space="preserve">ТОВ Бензогурт</t>
  </si>
  <si>
    <t xml:space="preserve">40769813</t>
  </si>
  <si>
    <t xml:space="preserve"> UA-2021-10-19-000499-b</t>
  </si>
  <si>
    <t xml:space="preserve">Запасні частини для ручного приладдя ДК 021:2015: 42676000-5 - Частини ручних інструментів</t>
  </si>
  <si>
    <t xml:space="preserve">42676000-5 - Частини ручних інструментів</t>
  </si>
  <si>
    <t xml:space="preserve"> UA-2021-10-21-000099-c</t>
  </si>
  <si>
    <t xml:space="preserve">Послуги з видачі рекомендацій з питань обгрунтування потреби у воді ДК 021:2015: 98110000-7 - Послуги підприємницьких, професійних та спеціалізованих організацій</t>
  </si>
  <si>
    <t xml:space="preserve">98110000-7 - Послуги підприємницьких, професійних та спеціалізованих організацій</t>
  </si>
  <si>
    <t xml:space="preserve">РОВР У ДНІПРОПЕТРОВСЬКІЙ ОБЛАСТІ</t>
  </si>
  <si>
    <t xml:space="preserve">01038699</t>
  </si>
  <si>
    <t xml:space="preserve">20.10.2021</t>
  </si>
  <si>
    <t xml:space="preserve"> UA-2021-10-20-000073-a</t>
  </si>
  <si>
    <t xml:space="preserve">Текстильні вироби різні ДК 021:2015: 39560000-5 - Текстильні вироби різні</t>
  </si>
  <si>
    <t xml:space="preserve">39560000-5 - Текстильні вироби різні</t>
  </si>
  <si>
    <t xml:space="preserve">ТОВ АРТІ</t>
  </si>
  <si>
    <t xml:space="preserve">25185087</t>
  </si>
  <si>
    <t xml:space="preserve"> UA-2021-10-20-000106-a</t>
  </si>
  <si>
    <t xml:space="preserve">Вальниці ДК 021:2015: 44440000-6 - Вальниці</t>
  </si>
  <si>
    <t xml:space="preserve">44440000-6 - Вальниці</t>
  </si>
  <si>
    <t xml:space="preserve"> UA-2021-10-20-000227-b</t>
  </si>
  <si>
    <t xml:space="preserve">Гумові приводні паси ДК 021:2015: 34312700-4 - Гумові приводні паси</t>
  </si>
  <si>
    <t xml:space="preserve">34312700-4 - Гумові приводні паси</t>
  </si>
  <si>
    <t xml:space="preserve">21.10.2021</t>
  </si>
  <si>
    <t xml:space="preserve"> UA-2021-10-22-000306-b</t>
  </si>
  <si>
    <t xml:space="preserve">Лабораторні хімічні речовини ДК 021:2015: 24310000-0 - Основні неорганічні хімічні речовини</t>
  </si>
  <si>
    <t xml:space="preserve">24310000-0 - Основні неорганічні хімічні речовини</t>
  </si>
  <si>
    <t xml:space="preserve">ТОВ ТПК "СПЛАВ"</t>
  </si>
  <si>
    <t xml:space="preserve">37987777</t>
  </si>
  <si>
    <t xml:space="preserve"> UA-2021-10-23-000988-с</t>
  </si>
  <si>
    <t xml:space="preserve">Продукція матеріально-технічного призначення ДК 021:2015: 33696500-0 - Лабораторні реактиви</t>
  </si>
  <si>
    <t xml:space="preserve">33690000-3 - Лікарські засоби різні</t>
  </si>
  <si>
    <t xml:space="preserve">ТОВ Екохімхолдинг</t>
  </si>
  <si>
    <t xml:space="preserve">39713879</t>
  </si>
  <si>
    <t xml:space="preserve"> UA-2021-10-25-010228-b</t>
  </si>
  <si>
    <t xml:space="preserve">Бронза  ДК 021:2015: 14710000-1 - Залізо, свинець, цинк, олово та мідь</t>
  </si>
  <si>
    <t xml:space="preserve">14710000-1 - Залізо, свинець, цинк, олово та мідь</t>
  </si>
  <si>
    <t xml:space="preserve">ТОВ  АМ Метал Груп</t>
  </si>
  <si>
    <t xml:space="preserve">43712939</t>
  </si>
  <si>
    <t xml:space="preserve">25.10.2021</t>
  </si>
  <si>
    <t xml:space="preserve"> UA-2021-10-25-000061-с</t>
  </si>
  <si>
    <t xml:space="preserve">Навчання ДК 021:2015: 80570000-0 - Послуги з професійної підготовки у сфері підвищення кваліфікації</t>
  </si>
  <si>
    <t xml:space="preserve">80570000-0 - Послуги з професійної підготовки у сфері підвищення кваліфікації</t>
  </si>
  <si>
    <t xml:space="preserve">КП НКК ДОР</t>
  </si>
  <si>
    <t xml:space="preserve">03363192</t>
  </si>
  <si>
    <t xml:space="preserve">UA-2021-10-25-000471-b</t>
  </si>
  <si>
    <t xml:space="preserve"> UA-2021-10-25-002677-a</t>
  </si>
  <si>
    <t xml:space="preserve">Запасні частини для автомобілів ДК 021:2015: 34330000-9 - Запасні частини до вантажних транспортних засобів, фургонів та легкових автомобілів</t>
  </si>
  <si>
    <t xml:space="preserve">ФОП Франтішкова Т.Я.</t>
  </si>
  <si>
    <t xml:space="preserve">1963512742</t>
  </si>
  <si>
    <t xml:space="preserve">26.10.2021</t>
  </si>
  <si>
    <t xml:space="preserve"> UA-2021-10-26-000263-a</t>
  </si>
  <si>
    <t xml:space="preserve">Кабелі та супутня продукція ДК 021:2015: 44320000-9 - Кабелі та супутня продукція
</t>
  </si>
  <si>
    <t xml:space="preserve">44320000-9 - Кабелі та супутня продукція</t>
  </si>
  <si>
    <t xml:space="preserve">ТОВ Кабельснаб</t>
  </si>
  <si>
    <t xml:space="preserve">42535197</t>
  </si>
  <si>
    <t xml:space="preserve"> UA-2021-10-26-000140-c</t>
  </si>
  <si>
    <t xml:space="preserve">Електричні лампи розжарення за ДК 021:2015: 31510000-4 - Електричні лампи розжарення</t>
  </si>
  <si>
    <t xml:space="preserve">31510000-4 - Електричні лампи розжарення</t>
  </si>
  <si>
    <t xml:space="preserve">27.10.2021</t>
  </si>
  <si>
    <t xml:space="preserve">UA-2021-10-27-004343-c</t>
  </si>
  <si>
    <t xml:space="preserve">ТОВ АВ Метал груп</t>
  </si>
  <si>
    <t xml:space="preserve">36441934</t>
  </si>
  <si>
    <t xml:space="preserve">UA-2021-10-27-002523-b</t>
  </si>
  <si>
    <t xml:space="preserve">Напівкомбінезон з припаяними чоботами 040 ОВ ДК 021:2015: 18410000-6 - Спеціальний одяг</t>
  </si>
  <si>
    <t xml:space="preserve">18410000-6 - Спеціальний одяг</t>
  </si>
  <si>
    <t xml:space="preserve">ТОВ ЮКОВ ЛТД</t>
  </si>
  <si>
    <t xml:space="preserve">33831763</t>
  </si>
  <si>
    <t xml:space="preserve"> UA-2021-10-27-004165-c</t>
  </si>
  <si>
    <t xml:space="preserve">Ваучер Vodafone 100 ДК 021:2015: 64210000-1 - Послуги телефонного зв’язку та передачі даних</t>
  </si>
  <si>
    <t xml:space="preserve"> 64210000-1 - Послуги телефонного зв’язку та передачі даних</t>
  </si>
  <si>
    <t xml:space="preserve">ТОВ Гранд СІМ</t>
  </si>
  <si>
    <t xml:space="preserve">43262980</t>
  </si>
  <si>
    <t xml:space="preserve"> UA-2021-10-27-004076-c</t>
  </si>
  <si>
    <t xml:space="preserve">Скретч картки поповнення мобільного зв'язку ДК 021:2015: 64210000-1 - Послуги телефонного зв’язку та передачі даних</t>
  </si>
  <si>
    <t xml:space="preserve">28.10.2021</t>
  </si>
  <si>
    <t xml:space="preserve">UA-2021-10-28-000085-b</t>
  </si>
  <si>
    <t xml:space="preserve"> UA-2021-10-29-000059-c</t>
  </si>
  <si>
    <t xml:space="preserve">Промслові гази в балонах (кисень) за ДК 021:2015: 24111900-4 - Кисень</t>
  </si>
  <si>
    <t xml:space="preserve">24110000-8 - Промислові гази</t>
  </si>
  <si>
    <t xml:space="preserve">МПП Дельта-Оптіма</t>
  </si>
  <si>
    <t xml:space="preserve">31624216</t>
  </si>
  <si>
    <t xml:space="preserve">29.10.2021</t>
  </si>
  <si>
    <t xml:space="preserve"> UA-2021-10-29-000755-b</t>
  </si>
  <si>
    <t xml:space="preserve">Водогінні труби ДК 021:2015 -44161200-8 - Водогінні труби</t>
  </si>
  <si>
    <t xml:space="preserve">44161200-8 - Водогінні труби</t>
  </si>
  <si>
    <t xml:space="preserve">ТОВ "АПЕРАМ Україна"</t>
  </si>
  <si>
    <t xml:space="preserve"> UA-2021-11-01-000967-c</t>
  </si>
  <si>
    <t xml:space="preserve">Свинцево-кислотні акумуляторні батареї ДК 021:2015: 31431000-6 - Свинцево-кислотні акумуляторні батареї</t>
  </si>
  <si>
    <t xml:space="preserve">31430000-9 - Електричні акумулятори</t>
  </si>
  <si>
    <t xml:space="preserve"> UA-2021-11-01-000664-a</t>
  </si>
  <si>
    <t xml:space="preserve">Хімічна продукція різна ДК 021:2015: 24960000-1 - Хімічна продукція різна</t>
  </si>
  <si>
    <t xml:space="preserve">24960000-1 - Хімічна продукція різна</t>
  </si>
  <si>
    <t xml:space="preserve"> UA-2021-11-01-001000-c</t>
  </si>
  <si>
    <t xml:space="preserve">Мастильні засоби ДК 021:2015: 09210000-4 - Мастильні засоби</t>
  </si>
  <si>
    <t xml:space="preserve">02.11.2021</t>
  </si>
  <si>
    <t xml:space="preserve">UA-2021-11-04-008088-a</t>
  </si>
  <si>
    <t xml:space="preserve">Налаштування комп'ютерного обладнання за ДК 021:2015: 72610000-9 - Послуги з комп’ютерної підтримки</t>
  </si>
  <si>
    <t xml:space="preserve">72610000-9 - Послуги з комп’ютерної підтримки</t>
  </si>
  <si>
    <t xml:space="preserve">ФОП Дубіна Є.В.</t>
  </si>
  <si>
    <t xml:space="preserve">3166619272</t>
  </si>
  <si>
    <t xml:space="preserve"> UA-2021-11-05-000232-a</t>
  </si>
  <si>
    <t xml:space="preserve">Взуття із захисним металевим підноском за ДК 021:2015: 18831000-3 - Взуття із захисним металевим підноском</t>
  </si>
  <si>
    <t xml:space="preserve">18831000-3 - Взуття із захисним металевим підноском</t>
  </si>
  <si>
    <t xml:space="preserve">ТОВ ЛОТОС КОРП</t>
  </si>
  <si>
    <t xml:space="preserve">40263159</t>
  </si>
  <si>
    <t xml:space="preserve">03.11.2021</t>
  </si>
  <si>
    <t xml:space="preserve"> UA-2021-11-05-012978-b</t>
  </si>
  <si>
    <t xml:space="preserve">Послуги з метрологічної повірки (кл.точн.2,5 S) ДК 021:2015: 71631100-1 - Послуги з технічного огляду обладнання</t>
  </si>
  <si>
    <t xml:space="preserve"> 71630000-3 - Послуги з технічного огляду та випробовувань</t>
  </si>
  <si>
    <t xml:space="preserve">ТОВ "Дніпропетровський Метрологічний ЦЕНТР" (ДМЦ)</t>
  </si>
  <si>
    <t xml:space="preserve">40331536</t>
  </si>
  <si>
    <t xml:space="preserve">04.11.2021</t>
  </si>
  <si>
    <t xml:space="preserve"> UA-2021-11-04-001798-b</t>
  </si>
  <si>
    <t xml:space="preserve">05.11.2021</t>
  </si>
  <si>
    <t xml:space="preserve"> UA-2021-11-05-000618-a</t>
  </si>
  <si>
    <t xml:space="preserve">UA-2021-11-08-000408-a</t>
  </si>
  <si>
    <t xml:space="preserve">Ключ шестигранний (1,5-10мм) MIOL CR за ДК 021:2015: 44511000-5 - Ручні знаряддя</t>
  </si>
  <si>
    <t xml:space="preserve">44510000-8 - Знаряддя</t>
  </si>
  <si>
    <t xml:space="preserve">ФОП Кошова Г.О.</t>
  </si>
  <si>
    <t xml:space="preserve">2828124203</t>
  </si>
  <si>
    <t xml:space="preserve"> UA-2021-11-08-000292-c</t>
  </si>
  <si>
    <t xml:space="preserve">Ключ електронний Алмаз-К ДК 021:2015: 72320000-4 - Послуги, пов’язані з базами даних</t>
  </si>
  <si>
    <t xml:space="preserve">72320000-4 - Послуги, пов’язані з базами даних</t>
  </si>
  <si>
    <t xml:space="preserve">ПАТ Інститут інформаційних технологій</t>
  </si>
  <si>
    <t xml:space="preserve">08.11.2021</t>
  </si>
  <si>
    <t xml:space="preserve"> UA-2021-11-08-010103-b</t>
  </si>
  <si>
    <t xml:space="preserve">Корпус металевий за ДК 021:2015: 44140000-3 - Продукція, пов’язана з конструкційними матеріалами</t>
  </si>
  <si>
    <t xml:space="preserve">44140000-3 - Продукція, пов’язана з конструкційними матеріалами</t>
  </si>
  <si>
    <t xml:space="preserve">09.11.2021</t>
  </si>
  <si>
    <t xml:space="preserve"> UA-2021-11-09-001893-a</t>
  </si>
  <si>
    <t xml:space="preserve">Смуга металева за ДК 021:2015: 44170000-2 - Плити, листи, стрічки та фольга, пов’язані з конструкційними матеріалами</t>
  </si>
  <si>
    <t xml:space="preserve">44170000-2 - Плити, листи, стрічки та фольга, пов’язані з конструкційними матеріалами</t>
  </si>
  <si>
    <t xml:space="preserve"> UA-2021-11-09-012395-b</t>
  </si>
  <si>
    <t xml:space="preserve">Миша Genius за ДК 021:2015: 30237410-6 - Комп’ютерні миші</t>
  </si>
  <si>
    <t xml:space="preserve">ТОВ Девайс</t>
  </si>
  <si>
    <t xml:space="preserve">UA-2021-11-09-012452-b</t>
  </si>
  <si>
    <t xml:space="preserve">Пломбування/розпломбування вузла обліку (1) за ДК 021:2015: 50410000-2 - Послуги з ремонту і технічного обслуговування вимірювальних, випробувальних і контрольних приладів</t>
  </si>
  <si>
    <t xml:space="preserve">50410000-2 - Послуги з ремонту і технічного обслуговування вимірювальних, випробувальних і контрольних приладів</t>
  </si>
  <si>
    <t xml:space="preserve">АТ ДТЕК Дніпровські Електромережі</t>
  </si>
  <si>
    <t xml:space="preserve"> UA-2021-11-09-003068-c</t>
  </si>
  <si>
    <t xml:space="preserve">Пломбування/розпломбування вузла обліку (2) за ДК 021:2015: 50410000-2 - Послуги з ремонту і технічного обслуговування вимірювальних, випробувальних і контрольних приладів</t>
  </si>
  <si>
    <t xml:space="preserve"> UA-2021-11-09-012439-b</t>
  </si>
  <si>
    <t xml:space="preserve">Позачергова технічна перевірка правильності роботи точки обліку ДК 021:2015: 50410000-2 - Послуги з ремонту і технічного обслуговування вимірювальних, випробувальних і контрольних приладів</t>
  </si>
  <si>
    <t xml:space="preserve">10.11.2021</t>
  </si>
  <si>
    <t xml:space="preserve"> UA-2021-11-12-000181-b</t>
  </si>
  <si>
    <t xml:space="preserve">Чайник -  ДК 021:2015: 39710000-2 - Електричні побутові прилади</t>
  </si>
  <si>
    <t xml:space="preserve">39710000-2 - Електричні побутові прилади</t>
  </si>
  <si>
    <t xml:space="preserve">ТОВ ФТД-Ритейл</t>
  </si>
  <si>
    <t xml:space="preserve">15.11.2021</t>
  </si>
  <si>
    <t xml:space="preserve"> UA-2021-11-15-000192-b</t>
  </si>
  <si>
    <t xml:space="preserve"> UA-2021-11-15-000282-b</t>
  </si>
  <si>
    <t xml:space="preserve">Матеріали (будівельні) ДК 021:2015: 44111000-1 - Будівельні матеріали</t>
  </si>
  <si>
    <t xml:space="preserve">ФОП Забутной С.А.</t>
  </si>
  <si>
    <t xml:space="preserve">16.11.2021</t>
  </si>
  <si>
    <t xml:space="preserve"> UA-2021-11-17-000238-b</t>
  </si>
  <si>
    <t xml:space="preserve">Компьютерне обладнання ДК 021:2015: 30230000-0 - Комп’ютерне обладнання</t>
  </si>
  <si>
    <t xml:space="preserve">18.11.2021</t>
  </si>
  <si>
    <t xml:space="preserve"> UA-2021-11-17-013278-a</t>
  </si>
  <si>
    <t xml:space="preserve">Плівка п/е 1500*0,15 ДК 021:2015: 19520000-7 - Пластмасові вироби</t>
  </si>
  <si>
    <t xml:space="preserve">19520000-7 - Пластмасові вироби</t>
  </si>
  <si>
    <t xml:space="preserve">ТОВ Пластік-Фабрік</t>
  </si>
  <si>
    <t xml:space="preserve">19.11.2021</t>
  </si>
  <si>
    <t xml:space="preserve">UA-2021-11-22-002051-b</t>
  </si>
  <si>
    <t xml:space="preserve">Автозапчастини ДК 021:2015: 34330000-9 - Запасні частини до вантажних транспортних засобів, фургонів та легкових автомобілів</t>
  </si>
  <si>
    <t xml:space="preserve"> UA-2021-11-22-003871-a</t>
  </si>
  <si>
    <t xml:space="preserve">Монітор ДК 021:2015: 30230000-0 - Комп’ютерне обладнання</t>
  </si>
  <si>
    <t xml:space="preserve">22.11.2021</t>
  </si>
  <si>
    <t xml:space="preserve">UA-2021-11-22-001042-c</t>
  </si>
  <si>
    <t xml:space="preserve">Клеї  ДК 021:2015: 44110000-4 - Конструкційні матеріали</t>
  </si>
  <si>
    <t xml:space="preserve">ТОВ Міра Будматеріали</t>
  </si>
  <si>
    <t xml:space="preserve">23.11.2021</t>
  </si>
  <si>
    <t xml:space="preserve"> UA-2021-11-24-000368-c</t>
  </si>
  <si>
    <t xml:space="preserve">Електроди ДК 021:2015: 31711140-6 - Електроди</t>
  </si>
  <si>
    <t xml:space="preserve">31710000-6 - Електронне обладнання</t>
  </si>
  <si>
    <t xml:space="preserve">ТОВ Дніпро-Сервіс</t>
  </si>
  <si>
    <t xml:space="preserve">UA-2021-11-26-001653-b</t>
  </si>
  <si>
    <t xml:space="preserve">Страхуванн ДК 021:2015: 66510000-8 - Страхові послуги</t>
  </si>
  <si>
    <t xml:space="preserve"> 66510000-8 - Страхові послуги</t>
  </si>
  <si>
    <t xml:space="preserve">ПАТ УПСК</t>
  </si>
  <si>
    <t xml:space="preserve">24.11.2021</t>
  </si>
  <si>
    <t xml:space="preserve"> UA-2021-11-26-000959-c</t>
  </si>
  <si>
    <t xml:space="preserve">Офісне устаткування та приладдя різне ДК 021:2015: 30190000-7 - Офісне устаткування та приладдя різне</t>
  </si>
  <si>
    <t xml:space="preserve">26.11.2021</t>
  </si>
  <si>
    <t xml:space="preserve"> UA-2021-11-26-000914-c</t>
  </si>
  <si>
    <t xml:space="preserve">Е-журнал Кадровик -01 (спецвипуск до журналу Кадровик -01) ДК 021:2015: 22210000-5 - Газети</t>
  </si>
  <si>
    <t xml:space="preserve">22210000-5 - Газети</t>
  </si>
  <si>
    <t xml:space="preserve">ТОВ МЦФЕР- Україна</t>
  </si>
  <si>
    <t xml:space="preserve"> UA-2021-11-26-003762-a</t>
  </si>
  <si>
    <t xml:space="preserve">КЕП-Ключ ДК 021:2015: 72310000-1 - Послуги з обробки даних</t>
  </si>
  <si>
    <t xml:space="preserve">ТОВ Депозит Сайн</t>
  </si>
  <si>
    <t xml:space="preserve">UA-2021-11-26-001227-c</t>
  </si>
  <si>
    <t xml:space="preserve">Доступ до онлайн-сервісу (КЕП) ДК 021:2015: 72310000-1 - Послуги з обробки даних</t>
  </si>
  <si>
    <t xml:space="preserve"> UA-2021-11-26-008277-a</t>
  </si>
  <si>
    <t xml:space="preserve"> ДК 021:2015: 80570000-0 - Послуги з професійної підготовки у сфері підвищення кваліфікації</t>
  </si>
  <si>
    <t xml:space="preserve">UA-2021-11-29-000730-b</t>
  </si>
  <si>
    <t xml:space="preserve">Насос SPRUT GPD 16-17-750 ДК 021:2015: 42122100-1 - Насоси для рідин</t>
  </si>
  <si>
    <t xml:space="preserve"> 42120000-6 - Насоси та компресори</t>
  </si>
  <si>
    <t xml:space="preserve">ТОВ ПВП НАСОСЕНЕРГОПРОМ</t>
  </si>
  <si>
    <t xml:space="preserve"> UA-2021-11-29-000874-b</t>
  </si>
  <si>
    <t xml:space="preserve">Скретч поповнення мобільного зв'язку ДК 021:2015: 64210000-1 - Послуги телефонного зв’язку та передачі даних</t>
  </si>
  <si>
    <t xml:space="preserve">64210000-1 - Послуги телефонного зв’язку та передачі даних</t>
  </si>
  <si>
    <t xml:space="preserve"> UA-2021-11-29-000438-a</t>
  </si>
  <si>
    <t xml:space="preserve">30.11.2021</t>
  </si>
  <si>
    <t xml:space="preserve"> UA-2021-11-30-002033-b</t>
  </si>
  <si>
    <t xml:space="preserve">Куртки утеплені ДК 021:2015: 18130000-9 - Спеціальний робочий одяг</t>
  </si>
  <si>
    <t xml:space="preserve">18130000-9 - Спеціальний робочий одяг</t>
  </si>
  <si>
    <t xml:space="preserve">ВТФ Вікторвія</t>
  </si>
  <si>
    <t xml:space="preserve">21362121</t>
  </si>
  <si>
    <t xml:space="preserve">03.12.2021</t>
  </si>
  <si>
    <t xml:space="preserve"> UA-2021-12-06-008549-с</t>
  </si>
  <si>
    <t xml:space="preserve">Перфоратор  MRH-1920В  ДК 021:2015: 43830000-0 - Електричні інструменти</t>
  </si>
  <si>
    <t xml:space="preserve">43830000-0 - Електричні інструменти</t>
  </si>
  <si>
    <t xml:space="preserve">ФОП Тригуб І.С.</t>
  </si>
  <si>
    <t xml:space="preserve"> UA-2021-12-06-002547-b</t>
  </si>
  <si>
    <t xml:space="preserve">Чайник ДELFA - 3520Х ДК 021:2015: 39710000-2 - Електричні побутові прилади</t>
  </si>
  <si>
    <t xml:space="preserve">09.12.2021</t>
  </si>
  <si>
    <t xml:space="preserve"> UA-2021-12-10-007668-а</t>
  </si>
  <si>
    <t xml:space="preserve">Послуги у сфері охорони здоров'я різні ДК 021:2015: 85140000-2 - Послуги у сфері охорони здоров’я різні
</t>
  </si>
  <si>
    <t xml:space="preserve">85140000-2 - Послуги у сфері охорони здоров’я різні</t>
  </si>
  <si>
    <t xml:space="preserve">ДУ "Дніпропетровський ОЦКПХ МОЗ"</t>
  </si>
  <si>
    <t xml:space="preserve">38461598</t>
  </si>
  <si>
    <t xml:space="preserve">14.12.2021</t>
  </si>
  <si>
    <t xml:space="preserve"> UA-2021-12-14-001015-а</t>
  </si>
  <si>
    <t xml:space="preserve">31710000-6 - Електронне обладнання </t>
  </si>
  <si>
    <t xml:space="preserve"> UA-2021-12-14-000548-b</t>
  </si>
  <si>
    <t xml:space="preserve">Абразивні вироби за ДК 021:2015: 14810000-2 - Абразивні вироби
</t>
  </si>
  <si>
    <t xml:space="preserve">14810000-2 - Абразивні вироби</t>
  </si>
  <si>
    <t xml:space="preserve"> UA-2021-12-15-008183-c</t>
  </si>
  <si>
    <t xml:space="preserve">Примірник та пакети оновлень "М.Е.ДОС" ДК 021:2015: 72260000-5 - Послуги, пов’язані з програмним забезпеченням</t>
  </si>
  <si>
    <t xml:space="preserve">72260000-5 - Послуги, пов’язані з програмним забезпеченням</t>
  </si>
  <si>
    <t xml:space="preserve">ФОП Галушко Ю.В.</t>
  </si>
  <si>
    <t xml:space="preserve">20.12.2021</t>
  </si>
  <si>
    <t xml:space="preserve"> UA-2021-12-20-007570-b</t>
  </si>
  <si>
    <t xml:space="preserve">Дослідження та розробки в галузі природних наук та охорони навколишнього природного середовища</t>
  </si>
  <si>
    <t xml:space="preserve">73110000-6 - Дослідницькі послуги</t>
  </si>
  <si>
    <t xml:space="preserve">ФОП Томіліна Н.І.</t>
  </si>
  <si>
    <t xml:space="preserve">2252900582</t>
  </si>
  <si>
    <t xml:space="preserve"> UA-2021-12-23-000328-b</t>
  </si>
  <si>
    <t xml:space="preserve">Старухвання ДК 021:2015: 66510000-8 - Страхові послуги</t>
  </si>
  <si>
    <t xml:space="preserve">66510000-8 - Страхові послуги</t>
  </si>
  <si>
    <t xml:space="preserve">ПрАТ ПЗУ Україна</t>
  </si>
  <si>
    <t xml:space="preserve"> UA-2021-12-23-001117-c</t>
  </si>
  <si>
    <t xml:space="preserve">Старухвання ДК 021:2015: 66510000-8 - Страхові послугиСтрахування</t>
  </si>
  <si>
    <t xml:space="preserve"> 66510000-8 - Страхові послугиСтрахування</t>
  </si>
  <si>
    <t xml:space="preserve"> UA-2021-12-23-003305-a</t>
  </si>
  <si>
    <t xml:space="preserve">Електричне обладнання ДК 021:2015: 31682100-1 - Електрошафи</t>
  </si>
  <si>
    <t xml:space="preserve"> 31680000-6 - Електричне приладдя та супутні товари до електричного обладнання</t>
  </si>
  <si>
    <t xml:space="preserve">ТОВ ЮНІСЕТ</t>
  </si>
  <si>
    <t xml:space="preserve"> UA-2021-12-23-012239-c</t>
  </si>
  <si>
    <t xml:space="preserve">Послуги зі встановлення електричного обладнання ДК 021:2015: 51110000-6 - Послуги зі встановлення електричного обладнання</t>
  </si>
  <si>
    <t xml:space="preserve">51110000-6 - Послуги зі встановлення електричного обладнання</t>
  </si>
  <si>
    <t xml:space="preserve"> UA-2021-12-23-014032-c</t>
  </si>
  <si>
    <r>
      <rPr>
        <sz val="10"/>
        <color rgb="FF000000"/>
        <rFont val="Times New Roman"/>
        <family val="1"/>
        <charset val="1"/>
      </rPr>
      <t xml:space="preserve">Електрична апаратура ДК 021:2015: 31211300-1 - Плавкі запобіжники; 31211340-3 - Клеми для плавких запобіжників</t>
    </r>
    <r>
      <rPr>
        <u val="single"/>
        <sz val="8"/>
        <color rgb="FF000000"/>
        <rFont val="Times New Roman"/>
        <family val="1"/>
        <charset val="204"/>
      </rPr>
      <t xml:space="preserve"> </t>
    </r>
    <r>
      <rPr>
        <sz val="8"/>
        <color rgb="FF000000"/>
        <rFont val="Times New Roman"/>
        <family val="1"/>
        <charset val="204"/>
      </rPr>
      <t xml:space="preserve">31214200-1 - Вимикачі-роз’єднувачі; 31218000-7 - Шинопроводи;31214190-7 - Кінцеві вимикачі; 31214100-0 - Перемикачі; 31215000-6 - Обмежувачі напруги 31211310-4 - Автоматичні вимикачі; 31218000-7 - Шинопроводи</t>
    </r>
  </si>
  <si>
    <t xml:space="preserve">31210000-1 - Електрична апаратура для комутування та захисту електричних кіл</t>
  </si>
  <si>
    <t xml:space="preserve"> UA-2021-12-24-004864-b</t>
  </si>
  <si>
    <t xml:space="preserve">Ізолятори ДК 021:2015: 44111511-6 - Електроізолятори</t>
  </si>
  <si>
    <t xml:space="preserve"> 44110000-4 - Конструкційні матеріали</t>
  </si>
  <si>
    <t xml:space="preserve"> UA-2021-12-24-010088-c</t>
  </si>
  <si>
    <t xml:space="preserve">Елементи електричних схем ДК 021:2015: 31224100-3 - Вилки та розетки; 31221000-1 - Електричні реле</t>
  </si>
  <si>
    <t xml:space="preserve">31220000-4 - Елементи електричних схем</t>
  </si>
  <si>
    <t xml:space="preserve"> UA-2021-12-24-005126-b</t>
  </si>
  <si>
    <t xml:space="preserve">Електричні лампи розжарення ДК 021:2015: 31518000-0 - Сигнальні лампи</t>
  </si>
  <si>
    <t xml:space="preserve"> 31510000-4 - Електричні лампи розжарення</t>
  </si>
  <si>
    <t xml:space="preserve"> UA-2021-12-24-002702-a</t>
  </si>
  <si>
    <t xml:space="preserve">M22-R10K Потенціометр ДК 021:2015: 31711131-0 - Електричні резистори</t>
  </si>
  <si>
    <t xml:space="preserve"> UA-2021-12-24-005328-b</t>
  </si>
  <si>
    <t xml:space="preserve">Термостат QHT-NO, 110-240VДК 021:2015: 31730000-2 - Електротехнічне обладнання</t>
  </si>
  <si>
    <t xml:space="preserve"> 31730000-2 - Електротехнічне обладнання</t>
  </si>
  <si>
    <t xml:space="preserve"> UA-2021-12-24-005425-b</t>
  </si>
  <si>
    <t xml:space="preserve">Світильник QPA 810 ДК 021:2015: 31521000-4 - Світильники</t>
  </si>
  <si>
    <t xml:space="preserve"> 31520000-7 - Світильники та освітлювальна арматура</t>
  </si>
  <si>
    <t xml:space="preserve"> UA-2021-12-24-011039-c</t>
  </si>
  <si>
    <t xml:space="preserve">Вентиляційне обладнання ДК 021:2015: 42522000-1 - Вентилятори непобутового призначення; 42522100-2 - Частини вентиляторів</t>
  </si>
  <si>
    <t xml:space="preserve"> 42520000-7 - Вентиляційне обладнання</t>
  </si>
  <si>
    <t xml:space="preserve"> UA-2021-12-28-003766-c</t>
  </si>
  <si>
    <t xml:space="preserve"> UA-2021-12-28-003769-c</t>
  </si>
  <si>
    <t xml:space="preserve"> UA-2021-12-30-000368-a</t>
  </si>
  <si>
    <t xml:space="preserve">Крани, муфти, перехідники ДК 021:2015: 42130000-9 - Арматура трубопровідна: крани, вентилі, клапани та подібні пристрої</t>
  </si>
  <si>
    <t xml:space="preserve"> ФОП Голядинець О.В.</t>
  </si>
  <si>
    <t xml:space="preserve">UA-2021-12-30-000363-b</t>
  </si>
  <si>
    <t xml:space="preserve">Вугілля ДК 021:2015: 09111100-1 - Вугілля</t>
  </si>
  <si>
    <t xml:space="preserve"> 09110000-3 - Тверде паливо</t>
  </si>
  <si>
    <t xml:space="preserve"> ФОП Кодріна О.М.</t>
  </si>
  <si>
    <t xml:space="preserve"> UA-2021-12-30-001914-b</t>
  </si>
  <si>
    <t xml:space="preserve">ФОП Франтішкова Т.Я</t>
  </si>
  <si>
    <t xml:space="preserve">Поточний ремонт електрообладнання КЗДО №13 за адресою вул. Героїв України, 6а м.Покров Дніпропетровської області</t>
  </si>
  <si>
    <t xml:space="preserve">50710000-5 Послуги з ремонту і технічного обслуговування електричного і механічного устаткування будівель</t>
  </si>
  <si>
    <t xml:space="preserve">Управління освіти виконавчого комітету Покровської міської ради</t>
  </si>
  <si>
    <t xml:space="preserve">02142388</t>
  </si>
  <si>
    <t xml:space="preserve">ФОП КОВТУН ДЕНИС ВАСИЛЬОВИЧ</t>
  </si>
  <si>
    <t xml:space="preserve">110-У/21</t>
  </si>
  <si>
    <t xml:space="preserve">Поточний ремонт системи опалення КПНЗ «ДЮСШ ім..Д.Дідіка» (гімнастичний зал) за адресою вул..Тикви, 2а м.Покров Дніпропетровської області</t>
  </si>
  <si>
    <t xml:space="preserve">ЙФОП КОВТУН ДЕНИС ВАСИЛЬОВИЧ</t>
  </si>
  <si>
    <t xml:space="preserve">120-У/21</t>
  </si>
  <si>
    <t xml:space="preserve">Поточний ремонт водопостачання та водовідведення  Управління освіти за адресою вул.Центральна, 7 м.Покров Дніпропетровської області</t>
  </si>
  <si>
    <t xml:space="preserve">45330000-9 Водопровідні та санітарно-технічні роботи</t>
  </si>
  <si>
    <t xml:space="preserve">154-У/21</t>
  </si>
  <si>
    <t xml:space="preserve">Швидкозшивачі, папки, файли для управління освіти</t>
  </si>
  <si>
    <t xml:space="preserve">219-П/21</t>
  </si>
  <si>
    <t xml:space="preserve">Диван для КЗ "Шолоховська СЗШ"</t>
  </si>
  <si>
    <t xml:space="preserve">ФОП СІРЕНКО ВІТАЛІЙ ОЛЕКСАНДРОВИЧ</t>
  </si>
  <si>
    <t xml:space="preserve">1611/3</t>
  </si>
  <si>
    <t xml:space="preserve">Виконання технічного нагляду на об’єкті «"Капітальний ремонт системи протипожежного захисту, а саме: системи пожежної сигналізації та системи оповіщення про пожежу та управління евакуюванням людей, приміщення КЗ "Середня загальноосвітня школа №4" по вул. Уральська,2 в  м.Покров Дніпропетровської області". Коригування</t>
  </si>
  <si>
    <t xml:space="preserve">71240000-2 Архітектурні, інженерні та планувальні послуги</t>
  </si>
  <si>
    <t xml:space="preserve">ФОП ШАТАЛОВ ЮРІЙ ВОЛОДИМИРОВИЧ</t>
  </si>
  <si>
    <t xml:space="preserve">128-У/21</t>
  </si>
  <si>
    <t xml:space="preserve">Автомобільні запчастини для ПАЗ для КЗ "Шолоховська СЗШ"</t>
  </si>
  <si>
    <t xml:space="preserve">СПД ФО ТКАЧ РУСЛАН АНАТОЛІЙОВИЧ</t>
  </si>
  <si>
    <t xml:space="preserve">212-П/21</t>
  </si>
  <si>
    <t xml:space="preserve">Поточний ремонт електрообладнання КЗ «СЗШ №4» за адресою вул.Уральська, 2 м.Покров Дніпропетровської області</t>
  </si>
  <si>
    <t xml:space="preserve">115-У/21</t>
  </si>
  <si>
    <t xml:space="preserve">Диван полум’який для КЗ «СЗШ №6</t>
  </si>
  <si>
    <t xml:space="preserve">ФОП ІВАНОВА АЛІНА ПАВЛІВНА</t>
  </si>
  <si>
    <t xml:space="preserve">182-П/21</t>
  </si>
  <si>
    <t xml:space="preserve">Тачка для КЗДО №5</t>
  </si>
  <si>
    <t xml:space="preserve">16160000-4 Садова техніка різна</t>
  </si>
  <si>
    <t xml:space="preserve">ФОП ОЛЬКІН ДМИТРО ВЯЧЕСЛАВОВИЧ</t>
  </si>
  <si>
    <t xml:space="preserve">214-П/21</t>
  </si>
  <si>
    <t xml:space="preserve">Господарчі товари для КПНЗ "ДЮСШ ім. Д.Дідіка"</t>
  </si>
  <si>
    <t xml:space="preserve">ФОП ТРИГУБ МАКСИМ МИХАЙЛОВИЧ</t>
  </si>
  <si>
    <t xml:space="preserve">184-П/21</t>
  </si>
  <si>
    <t xml:space="preserve">Послуги з дослідження води</t>
  </si>
  <si>
    <t xml:space="preserve">85140000-2 Послуги у сфері охорони здоров’я різні</t>
  </si>
  <si>
    <t xml:space="preserve">ВІДОКРЕМЛЕНИЙ СТРУКТУРНИЙ ПІДРОЗДІЛ "НІКОПОЛЬСЬКИЙ РАЙОННИЙ ВІДДІЛ ДЕРЖАВНОЇ УСТАНОВИ "ДНІПРОПЕТРОВСЬКИЙ ОБЛАСНИЙ ЦЕНТР КОНТРОЛЮ ТА ПРОФІЛАКТИКИ ХВОРОБ МІНІСТЕРСТВА ОХОРОНИ ЗДОРОВ'Я УКРАЇНИ"</t>
  </si>
  <si>
    <t xml:space="preserve">103-У/21</t>
  </si>
  <si>
    <t xml:space="preserve">Стіл комп'ютерний для КЗ "Шолоховська СЗШ"</t>
  </si>
  <si>
    <t xml:space="preserve">ФОП ПАНКОНІН КОСТЯНТИН АНДРІЙОВИЧ</t>
  </si>
  <si>
    <t xml:space="preserve">0215/9</t>
  </si>
  <si>
    <t xml:space="preserve">Поточний ремонт водопостачання КЗ «СЗШ №4» (монтаж водонагривачів) за адресою вул.Уральська, 2  м.Покров Дніпропетровської області</t>
  </si>
  <si>
    <t xml:space="preserve">140-У/21</t>
  </si>
  <si>
    <t xml:space="preserve">Поточний ремонт системи опалення КЗДО №22 за адресою вул..Л.Чайкіной, 29 м.Покров Дніпропетровської області</t>
  </si>
  <si>
    <t xml:space="preserve">101-У/21</t>
  </si>
  <si>
    <t xml:space="preserve">Поточний ремонт зовнішніх електромереж КЗДО №11 за адресою вул. Центральна ,7 м.Покров Дніпропетровської області</t>
  </si>
  <si>
    <t xml:space="preserve">ТОВАРИСТВО З ОБМЕЖЕНОЮ ВІДПОВІДАЛЬНІСТЮ "ЕЛЕКТРОТЕХСЕРВІС 2017"</t>
  </si>
  <si>
    <t xml:space="preserve">156-У/21</t>
  </si>
  <si>
    <t xml:space="preserve">Радіатор на ПАЗ для КЗ "Шолоховська СЗШ"</t>
  </si>
  <si>
    <t xml:space="preserve">34310000-3 Двигуни та їх частини</t>
  </si>
  <si>
    <t xml:space="preserve">209-П/21</t>
  </si>
  <si>
    <t xml:space="preserve">Поточний ремонт принтера з заміною комплектуючих</t>
  </si>
  <si>
    <t xml:space="preserve">ТОВАРИСТВО З ОБМЕЖЕНОЮ ВІДПОВІДАЛЬНІСТЮ "АРМ ПРИНТ"</t>
  </si>
  <si>
    <t xml:space="preserve">127-У/21</t>
  </si>
  <si>
    <t xml:space="preserve">Воздуходувка для КЗДО №11</t>
  </si>
  <si>
    <t xml:space="preserve">216-П/21</t>
  </si>
  <si>
    <t xml:space="preserve">Канцелярське приладдя для КЗ "СЗШ №4"</t>
  </si>
  <si>
    <t xml:space="preserve">ФОП СЕМАК ІРИНА ВОЛОДИМИРІВНА</t>
  </si>
  <si>
    <t xml:space="preserve">200-п/21</t>
  </si>
  <si>
    <t xml:space="preserve">«Саніліт» в таблетках або еквівалент</t>
  </si>
  <si>
    <t xml:space="preserve">24455000-8 Дезинфекційні засоби</t>
  </si>
  <si>
    <t xml:space="preserve">ТОВ Біонік</t>
  </si>
  <si>
    <t xml:space="preserve">59-Д/21</t>
  </si>
  <si>
    <t xml:space="preserve">DWT садова повітродувка для КЗПО "БТДЮ"</t>
  </si>
  <si>
    <t xml:space="preserve">188-П/21</t>
  </si>
  <si>
    <t xml:space="preserve">Поточний ремонт металевих конструкцій огородження (хвірток) КЗДО №11 за адресою вул.Курчатова, 12   м.Покров Дніпропетровської області</t>
  </si>
  <si>
    <t xml:space="preserve">45340000-2 Зведення огорож, монтаж поручнів і захисних засобів</t>
  </si>
  <si>
    <t xml:space="preserve">131-У/21</t>
  </si>
  <si>
    <t xml:space="preserve">Подовжувач для управління освіти</t>
  </si>
  <si>
    <t xml:space="preserve">ПП КОВТУН ГАННА ІВАНІВНА</t>
  </si>
  <si>
    <t xml:space="preserve">226-П/21</t>
  </si>
  <si>
    <t xml:space="preserve">Поточний ремонт системи водопостачання КЗДО №13 за адресою вул.Героїв України, 6а м.Покров Дніпропетровської області</t>
  </si>
  <si>
    <t xml:space="preserve">149-У/21</t>
  </si>
  <si>
    <t xml:space="preserve">Поточний ремонт електрообладнання КЗ «НВК №2» за адресою вул. Л.Чайкіної, 15 м.Покров Дніпропетровської області</t>
  </si>
  <si>
    <t xml:space="preserve">148-У/21</t>
  </si>
  <si>
    <t xml:space="preserve">Поточний ремонт електрообладнання КЗДО №22 за адресою вул.Л.Чайкіної, 29 м.Покров Дніпропетровської області</t>
  </si>
  <si>
    <t xml:space="preserve">116-У/21</t>
  </si>
  <si>
    <t xml:space="preserve">Господарчі товари для КЗДО №5</t>
  </si>
  <si>
    <t xml:space="preserve">174-П/21</t>
  </si>
  <si>
    <t xml:space="preserve">Поточний ремонт системи водовідведення КПНЗ «ДЮСШ ім..Д.Дідіка» за адресою вул.Горького, 12  м.Покров Дніпропетровської області</t>
  </si>
  <si>
    <t xml:space="preserve">125-У/21</t>
  </si>
  <si>
    <t xml:space="preserve">Поточний ремонт системи водовідведення Управління освіти за адресою вул.Центральна, 7  м.Покров Дніпропетровської області</t>
  </si>
  <si>
    <t xml:space="preserve">126-У/21</t>
  </si>
  <si>
    <t xml:space="preserve">Поточний ремонт електрообладнання КЗ «НВК №2»(плити кухонної) за адресою вул.Л.Чайкіної, 15,  м.Покров Дніпропетровської області</t>
  </si>
  <si>
    <t xml:space="preserve">133-У/21</t>
  </si>
  <si>
    <t xml:space="preserve">Поточний ремонт будівлі КЗ «НВО» (штукатурка внутрішніх та зовнішніх укосів до металопластикових вікон) за адресою вул.Фабрична, 1 м.Покров Дніпропетровської області</t>
  </si>
  <si>
    <t xml:space="preserve">45410000-4 Штукатурні роботи</t>
  </si>
  <si>
    <t xml:space="preserve">136-У/21</t>
  </si>
  <si>
    <t xml:space="preserve">Поточний ремонт системи опалення КЗ «НВК №2» за адресою вул.Л.Чайкіної, 7 м.Покров Дніпропетровської області</t>
  </si>
  <si>
    <t xml:space="preserve">130-У/21</t>
  </si>
  <si>
    <t xml:space="preserve">Поточний ремонт системи водопостачання та водовідведення  КЗ «СЗШ №9» за адресою вул.Л.Чайкіної, 29а м.Покров Дніпропетровської області</t>
  </si>
  <si>
    <t xml:space="preserve">151-У/21</t>
  </si>
  <si>
    <t xml:space="preserve">Періодичні видання "Бюджетна бухгалтерія" та "Оплата праці"</t>
  </si>
  <si>
    <t xml:space="preserve">ТОВАРИСТВО З ОБМЕЖЕНОЮ ВІДПОВІДАЛЬНІСТЮ "НАУКОВО-ВИРОБНИЧЕ ПІДПРИЄМСТВО "ФАКТОР"</t>
  </si>
  <si>
    <t xml:space="preserve">213-П/21</t>
  </si>
  <si>
    <t xml:space="preserve">Поточний ремонт насоса (заміна реле тиску) КЗ «Шолоховська СЗШ» за адресою вул. Сонячна, 17  м.Покров Дніпропетровської області</t>
  </si>
  <si>
    <t xml:space="preserve">50510000-3 Послуги з ремонту і технічного обслуговування насосів, клапанів, кранів і металевих контейнерів</t>
  </si>
  <si>
    <t xml:space="preserve">113-У/21</t>
  </si>
  <si>
    <t xml:space="preserve">Комплект чорнил для КЗ "НВК №1"</t>
  </si>
  <si>
    <t xml:space="preserve">22610000-9 Друкарська фарба</t>
  </si>
  <si>
    <t xml:space="preserve">ФОП ПЕТРОВ ВОЛОДИМИР ВОЛОДИМИРОВИЧ</t>
  </si>
  <si>
    <t xml:space="preserve">221-П/21</t>
  </si>
  <si>
    <t xml:space="preserve">Поточний ремонт електрообладнання КЗ «НВК №1» за адресою вул. Героїв Чорнобиля, 4 м.Покров Дніпропетровської області</t>
  </si>
  <si>
    <t xml:space="preserve">139-У/21</t>
  </si>
  <si>
    <t xml:space="preserve">Трибуна для КЗ "Шолоховська СЗШ"</t>
  </si>
  <si>
    <t xml:space="preserve">0238/9</t>
  </si>
  <si>
    <t xml:space="preserve">Поточний ремонт електрообладнання Управління освіти за адресою вул. Центральна ,7 м.Покров Дніпропетровської області</t>
  </si>
  <si>
    <t xml:space="preserve">159-У/21</t>
  </si>
  <si>
    <t xml:space="preserve">Подяка (бланк) для управління освіти</t>
  </si>
  <si>
    <t xml:space="preserve">ФОП СТАЛЄВА ВІКТОРІЯ ВОЛОДИМИРІВНА</t>
  </si>
  <si>
    <t xml:space="preserve">181-П/21</t>
  </si>
  <si>
    <t xml:space="preserve">Господарчі товари для Управління освіти</t>
  </si>
  <si>
    <t xml:space="preserve">19720000-9 Синтетичні волокна</t>
  </si>
  <si>
    <t xml:space="preserve">196-П/</t>
  </si>
  <si>
    <t xml:space="preserve">Фарби для Нової української школи</t>
  </si>
  <si>
    <t xml:space="preserve">ФОП ЯЛОВА ОЛЕНА ГРИГОРІВНА</t>
  </si>
  <si>
    <t xml:space="preserve">192-П/21</t>
  </si>
  <si>
    <t xml:space="preserve">Поточний ремонт електрообладнання КЗ «НВО» за адресою вул.І.Малки, 15, вул. Фабрична, 1  м.Покров Дніпропетровської області</t>
  </si>
  <si>
    <t xml:space="preserve">111-У/21</t>
  </si>
  <si>
    <t xml:space="preserve">104-У/21</t>
  </si>
  <si>
    <t xml:space="preserve">Генератор ПАЗ для КЗ "Шолоховська СЗШ"</t>
  </si>
  <si>
    <t xml:space="preserve">31120000-3 Генератори</t>
  </si>
  <si>
    <t xml:space="preserve">178-П/21</t>
  </si>
  <si>
    <t xml:space="preserve">Поточний ремонт системи водопостачання КЗДО №5 за адресою вул.Партизанська, 37 м.Покров Дніпропетровської області</t>
  </si>
  <si>
    <t xml:space="preserve">107-У/21</t>
  </si>
  <si>
    <t xml:space="preserve">Меблі для КЗ "Шолоховська СЗШ"</t>
  </si>
  <si>
    <t xml:space="preserve">39160000-1 Шкільні меблі</t>
  </si>
  <si>
    <t xml:space="preserve">0237/9</t>
  </si>
  <si>
    <t xml:space="preserve">Будівельні товари для КЗ "НВО"</t>
  </si>
  <si>
    <t xml:space="preserve">225-П/21</t>
  </si>
  <si>
    <t xml:space="preserve">Акумулятор на ПАЗ для КЗ "Шолоховська СЗШ"</t>
  </si>
  <si>
    <t xml:space="preserve">31440000-2 Акумуляторні батареї</t>
  </si>
  <si>
    <t xml:space="preserve">ФПД ФО ТКАЧ РУСЛАН АНАТОЛІЙОВИЧ</t>
  </si>
  <si>
    <t xml:space="preserve">208-П/21</t>
  </si>
  <si>
    <t xml:space="preserve">Господарчі товари  для КЗ "Ліцей"</t>
  </si>
  <si>
    <t xml:space="preserve">ФОП ДОЦЕНКО ЄВГЕН ОЛЕГОВИЧ</t>
  </si>
  <si>
    <t xml:space="preserve">206-П/21</t>
  </si>
  <si>
    <t xml:space="preserve">Перфоратор для КЗДО №11</t>
  </si>
  <si>
    <t xml:space="preserve">43830000-0 Електричні інструменти</t>
  </si>
  <si>
    <t xml:space="preserve">215-П/21</t>
  </si>
  <si>
    <t xml:space="preserve">Поточний ремонт системи водовідведення КЗДО №16 за адресою вул.Шатохіна, 3  м.Покров Дніпропетровської області</t>
  </si>
  <si>
    <t xml:space="preserve">108-У/21</t>
  </si>
  <si>
    <t xml:space="preserve">Сітка волейбольна для КПНЗ "ДЮСШ ім. Д.Дідіка"</t>
  </si>
  <si>
    <t xml:space="preserve">ФОП ПРИЛУЦЬКА ХРИСТИНА ВЯЧЕСЛАВІВНА</t>
  </si>
  <si>
    <t xml:space="preserve">183-П/21</t>
  </si>
  <si>
    <t xml:space="preserve">Поточний ремонт покрівлі альтанки ігрового майданчику групи №8 КЗДО №22  за адресою вул.Л.Чайкіної, 29 м.Покров Дніпропетровської області</t>
  </si>
  <si>
    <t xml:space="preserve">45260000-7 Покрівельні роботи та інші спеціалізовані будівельні роботи</t>
  </si>
  <si>
    <t xml:space="preserve">153-У/21</t>
  </si>
  <si>
    <t xml:space="preserve">Тонер для Kyocera, картридж  для Canon</t>
  </si>
  <si>
    <t xml:space="preserve">Товариство з обмеженою відповідальністю "В.М."</t>
  </si>
  <si>
    <t xml:space="preserve">43-Д/21</t>
  </si>
  <si>
    <t xml:space="preserve">Поточний ремонт системи водопостачання нежитлової будівлі за адресою вул.Партизанська, 71  м.Покров Дніпропетровської області</t>
  </si>
  <si>
    <t xml:space="preserve">109-У/21</t>
  </si>
  <si>
    <t xml:space="preserve">Поточний прибудинкового майданчику КЗ «НВК №2» «Улаштування відкритого бетоного лотку для стоку ливневих вод» за адресою вул.Л.Чайкіної, 15  м.Покров Дніпропетровської області</t>
  </si>
  <si>
    <t xml:space="preserve">96-У/21</t>
  </si>
  <si>
    <t xml:space="preserve">Поточний ремонт електрообладнання КЗ «НВК №1» за адресою вул.Героїв Чорнобиля,4, вул..Центральна, 33а  м.Покров Дніпропетровської області</t>
  </si>
  <si>
    <t xml:space="preserve">129-У/21</t>
  </si>
  <si>
    <t xml:space="preserve">Установлення (настроєння) персональних комп'ютерів для бухгалтерії управління освіти</t>
  </si>
  <si>
    <t xml:space="preserve">72610000-9 Послуги з комп’ютерної підтримки</t>
  </si>
  <si>
    <t xml:space="preserve">ФОП ЗЕЛІНСЬКИЙ ІГОР АДАМОВИЧ</t>
  </si>
  <si>
    <t xml:space="preserve">138-У/21</t>
  </si>
  <si>
    <t xml:space="preserve">Поточний ремонт електрообладнання КЗ «НВК №2» (установлення автомата 100А) за адресою вул. Л.Чайкіної, 15 м.Покров Дніпропетровської області</t>
  </si>
  <si>
    <t xml:space="preserve">158-У/21</t>
  </si>
  <si>
    <t xml:space="preserve">Поточний ремонт водопостачання КЗДО №21 за адресою вул.Л.Чайкіної, 10 м.Покров Дніпропетровської області</t>
  </si>
  <si>
    <t xml:space="preserve">147-У/21</t>
  </si>
  <si>
    <t xml:space="preserve">Поточний ремонт електрообладнання КЗ «НВК №2» за адресою вул. Л.Чайкіної,7 м.Покров Дніпропетровської області</t>
  </si>
  <si>
    <t xml:space="preserve">112-У/21</t>
  </si>
  <si>
    <t xml:space="preserve">Господарчі товари для КЗПО "БТДЮ"</t>
  </si>
  <si>
    <t xml:space="preserve">ФОП ЗАБУТНА СВІТЛАНА ПЕТРІВНА</t>
  </si>
  <si>
    <t xml:space="preserve">177-П/21</t>
  </si>
  <si>
    <t xml:space="preserve">Поточний ремонт електрообладнання КЗ «Шолоховська СЗШ» за адресою вул. Сонячна, 17  м.Покров Дніпропетровської області</t>
  </si>
  <si>
    <t xml:space="preserve">142-У/21</t>
  </si>
  <si>
    <t xml:space="preserve">Ножиці для Нової української школи</t>
  </si>
  <si>
    <t xml:space="preserve">39240000-6 Різальні інструменти</t>
  </si>
  <si>
    <t xml:space="preserve">1936-П/21</t>
  </si>
  <si>
    <t xml:space="preserve">Електротример для КЗПО "БТДЮ"</t>
  </si>
  <si>
    <t xml:space="preserve">16310000-1 Косарки</t>
  </si>
  <si>
    <t xml:space="preserve">189-П/21</t>
  </si>
  <si>
    <t xml:space="preserve">Дезінфікуючий засіб для закладів освіти</t>
  </si>
  <si>
    <t xml:space="preserve">33740000-9 Засоби для догляду за руками та нігтями</t>
  </si>
  <si>
    <t xml:space="preserve">204-П/21</t>
  </si>
  <si>
    <t xml:space="preserve">Поточний ремонт системи опалення КЗДО №21 за адресою вул.Л.Чайкіної, 10 м.Покров Дніпропетровської області</t>
  </si>
  <si>
    <t xml:space="preserve">122-У/21</t>
  </si>
  <si>
    <t xml:space="preserve">Поточний ремонт електрообладнання КЗДО №22 за адресою вул. Л.Чайкіної, 29 м.Покров Дніпропетровської області</t>
  </si>
  <si>
    <t xml:space="preserve">146-У/21</t>
  </si>
  <si>
    <t xml:space="preserve">Знаряддя для господарства для КЗ "СЗШ №4"</t>
  </si>
  <si>
    <t xml:space="preserve">210-П/21</t>
  </si>
  <si>
    <t xml:space="preserve">Послуги зі встановлення металевих конструкцій ігрового майданчика КЗДО №5 (встановлення гойдалок, пісочниці та ігрових елементів), за адресою вул. Партизанська, 37 м.Покров Дніпропетровської області</t>
  </si>
  <si>
    <t xml:space="preserve">45220000-5 Інженерні та будівельні роботи</t>
  </si>
  <si>
    <t xml:space="preserve">25/02</t>
  </si>
  <si>
    <t xml:space="preserve">Лінолеум для КЗДО №13</t>
  </si>
  <si>
    <t xml:space="preserve">180-П/21</t>
  </si>
  <si>
    <t xml:space="preserve">Видання для КЗДО №22</t>
  </si>
  <si>
    <t xml:space="preserve">ТОВАРИСТВО З ОБМЕЖЕНОЮ ВІДПОВІДАЛЬНІСТЮ "МІЖНАРОДНИЙ ЦЕНТР ФІНАНСОВО-ЕКОНОМІЧНОГО РОЗВИТКУ-УКРАЇНА"</t>
  </si>
  <si>
    <t xml:space="preserve">423862442</t>
  </si>
  <si>
    <t xml:space="preserve">Господарчі товари для КЗ "Шолоховська СЗШ"</t>
  </si>
  <si>
    <t xml:space="preserve">176-П/21</t>
  </si>
  <si>
    <t xml:space="preserve">Автомобільні запчастини для управління освіти</t>
  </si>
  <si>
    <t xml:space="preserve">ПП ДЮБАНОВ ВІКТОР ВАСИЛЬОВИЧ</t>
  </si>
  <si>
    <t xml:space="preserve">227-П/21</t>
  </si>
  <si>
    <t xml:space="preserve">Канцелярське приладдя для управління освіти</t>
  </si>
  <si>
    <t xml:space="preserve">22830000-7 Зошити</t>
  </si>
  <si>
    <t xml:space="preserve">228-П/21</t>
  </si>
  <si>
    <t xml:space="preserve">Поточний ремонт системи опалення КЗ «Шолоховська СЗШ» (приміщення бібліотеки) за адресою вул.Шкільна, 1 м.Покров Дніпропетровської області</t>
  </si>
  <si>
    <t xml:space="preserve">141-У/21</t>
  </si>
  <si>
    <t xml:space="preserve">«Поточний ремонт об’єкта благоустрою КЗ «СЗШ №9», спортивний майданчика (встановлення вуличних тренажерів), за адресою вул.Чайкіної Лізи, 29-А м.Покров Дніпропетровської області»</t>
  </si>
  <si>
    <t xml:space="preserve">51120000-9 Послуги зі встановлення механічного обладнання</t>
  </si>
  <si>
    <t xml:space="preserve">95-У/21</t>
  </si>
  <si>
    <t xml:space="preserve">Поточний ремонт системи водопостачання КЗДО №21 за адресою вул.Л.Чайкіної, 10 м.Покров Дніпропетровської області</t>
  </si>
  <si>
    <t xml:space="preserve">99-У/21</t>
  </si>
  <si>
    <t xml:space="preserve">Господарчі товари для КЗДО №16</t>
  </si>
  <si>
    <t xml:space="preserve">191-П/21</t>
  </si>
  <si>
    <t xml:space="preserve">Чистячі засоби для КЗДО №16</t>
  </si>
  <si>
    <t xml:space="preserve">201-П/21</t>
  </si>
  <si>
    <t xml:space="preserve">Дозатори для КЗ "СЗШ №6"</t>
  </si>
  <si>
    <t xml:space="preserve">187-П/21</t>
  </si>
  <si>
    <t xml:space="preserve">Стільці для КЗДО №2</t>
  </si>
  <si>
    <t xml:space="preserve">39112000-0 Стільці</t>
  </si>
  <si>
    <t xml:space="preserve">ФОП ЗАБУГА ОКСАНА ІГОРІВНА</t>
  </si>
  <si>
    <t xml:space="preserve">46-Д/21</t>
  </si>
  <si>
    <t xml:space="preserve">Поточний ремонт системи опалення КЗ «НВК №2» за адресою вул.Л.Чайкіної, 15 м.Покров Дніпропетровської області</t>
  </si>
  <si>
    <t xml:space="preserve">135-У/21</t>
  </si>
  <si>
    <t xml:space="preserve">152-У/21</t>
  </si>
  <si>
    <t xml:space="preserve">Поточний ремонт системи водопостачання та водовідведення КЗДО №22 за адресою вул.Л.Чайкіної, 29 м.Покров Дніпропетровської області</t>
  </si>
  <si>
    <t xml:space="preserve">97-У/21</t>
  </si>
  <si>
    <t xml:space="preserve">Поточний ремонт електрообладнання КЗ «НВО» за адресою вул.І.Малки, 15,  м.Покров Дніпропетровської області</t>
  </si>
  <si>
    <t xml:space="preserve">132-У/21</t>
  </si>
  <si>
    <t xml:space="preserve">Поточний ремонт електрообладнання КЗДО №22 (плити кухонної) за адресою вул.Л.Чайкіної, 29,  м.Покров Дніпропетровської області</t>
  </si>
  <si>
    <t xml:space="preserve">134-У/21</t>
  </si>
  <si>
    <t xml:space="preserve">Фурнітура для класів для Нової української школи</t>
  </si>
  <si>
    <t xml:space="preserve">ФОП "ПРОКОПІВ ОЛЕНА МИХАЙЛІВНА"</t>
  </si>
  <si>
    <t xml:space="preserve">42-Д/21</t>
  </si>
  <si>
    <t xml:space="preserve">Послуги зі встановлення металевих конструкцій спортивного майданчика КЗ «СЗШ №6» (встановлення вуличних тренажерів) за адресою вул. Чіатурська, 6 м.Покров Дніпропетровської області</t>
  </si>
  <si>
    <t xml:space="preserve">25/01</t>
  </si>
  <si>
    <t xml:space="preserve">Пластилін для Нової української школи</t>
  </si>
  <si>
    <t xml:space="preserve">195-П/21</t>
  </si>
  <si>
    <t xml:space="preserve">Поточний ремонт системи водопостачання КЗДО №11 за адресою вул.Курчатова, 12  м.Покров Дніпропетровської області</t>
  </si>
  <si>
    <t xml:space="preserve">106-У/21</t>
  </si>
  <si>
    <t xml:space="preserve">Поточний ремонт вимощення та стін КЗДО №5 (будівля котельні інв..101310004 за адресою вул.Партизанська, 37 м.Покров Дніпропетровської області</t>
  </si>
  <si>
    <t xml:space="preserve">105-У/21</t>
  </si>
  <si>
    <t xml:space="preserve">Чорнило для управління освіти</t>
  </si>
  <si>
    <t xml:space="preserve">190-П/21</t>
  </si>
  <si>
    <t xml:space="preserve">Послуги з проведення незалежної оцінки майна нежитлової будівлі за адресою: м.Покров, вул.Партизанська, 71</t>
  </si>
  <si>
    <t xml:space="preserve">ФОП КУРІЛЕЦЬ ІГОР ВОЛОДИМИРОВИЧ</t>
  </si>
  <si>
    <t xml:space="preserve">124-У/21</t>
  </si>
  <si>
    <t xml:space="preserve">Поточний ремонт системи водопостачання та водовідведення КЗДО №21 за адресою вул.Л.Чайкіної, 10 м.Покров Дніпропетровської області</t>
  </si>
  <si>
    <t xml:space="preserve">100-У/21</t>
  </si>
  <si>
    <t xml:space="preserve">«Господарчі товари для КЗ «СЗШ №4»</t>
  </si>
  <si>
    <t xml:space="preserve">ФОП ЧИРВА НАТАЛІЯ ПАВЛІВНА</t>
  </si>
  <si>
    <t xml:space="preserve">217-П/21</t>
  </si>
  <si>
    <t xml:space="preserve">Карниз для КЗДО №5</t>
  </si>
  <si>
    <t xml:space="preserve">ФОП ЗАБУТНОЙ СЕРГІЙ АНАТОЛІЙОВИЧ</t>
  </si>
  <si>
    <t xml:space="preserve">220-П/21</t>
  </si>
  <si>
    <t xml:space="preserve">Послуга з приєднання електроустановок обєкта по вул. Балкова, 20</t>
  </si>
  <si>
    <t xml:space="preserve">0050367606</t>
  </si>
  <si>
    <t xml:space="preserve">Здійснення авторського нагляду по об’єкту: «Капітальний ремонт приміщення будівлі за адресою вул. Курчатова, 21 в м.Покров Дніпропетровської області» </t>
  </si>
  <si>
    <t xml:space="preserve">71520000-9 Послуги з нагляду за виконанням будівельних робіт</t>
  </si>
  <si>
    <t xml:space="preserve">ФОП СЕЛІНА ЮЛІЯ ЄВГЕНІВНА</t>
  </si>
  <si>
    <t xml:space="preserve">143-У/21</t>
  </si>
  <si>
    <t xml:space="preserve">185-П/21</t>
  </si>
  <si>
    <t xml:space="preserve">Послуги з проведення лабораторних досліджень відповідно специфікації  в дошкільних закладах та загальнооствітніх закладах середньої освіти</t>
  </si>
  <si>
    <t xml:space="preserve">71900000-7 Лабораторні послуги</t>
  </si>
  <si>
    <t xml:space="preserve">119-У/21</t>
  </si>
  <si>
    <t xml:space="preserve">Господарчі товари для КЗ "СЗШ №9"</t>
  </si>
  <si>
    <t xml:space="preserve">198-П/21</t>
  </si>
  <si>
    <t xml:space="preserve">117-У/21</t>
  </si>
  <si>
    <t xml:space="preserve">Господарчі товари для КЗ "НВК №1"</t>
  </si>
  <si>
    <t xml:space="preserve">222-П/21</t>
  </si>
  <si>
    <t xml:space="preserve">Калькулятор для управління освіти</t>
  </si>
  <si>
    <t xml:space="preserve">224-П/21</t>
  </si>
  <si>
    <t xml:space="preserve">Штампи для управління освіти</t>
  </si>
  <si>
    <t xml:space="preserve">ФОП ГОЛИК НАТАЛІЯ ВАЛЕРІЇВНА</t>
  </si>
  <si>
    <t xml:space="preserve">218-П/21</t>
  </si>
  <si>
    <t xml:space="preserve">Поточний ремонт будівлі КЗДО №16 (штукатурка внутрішніх та зовнішніх укосів до вітражних металопластикових вікон) за адресою вул. Шатохіна, 3 м.Покров Дніпропетровської області</t>
  </si>
  <si>
    <t xml:space="preserve">137-У/21</t>
  </si>
  <si>
    <t xml:space="preserve">Прокладання внутрішньої високошвидкісної мережі Інтернету, розташованої за адресою м. Покров, вул.Героїв Чорнобиля, 4 КЗ «НВК №1»</t>
  </si>
  <si>
    <t xml:space="preserve">45</t>
  </si>
  <si>
    <t xml:space="preserve">155-У/21</t>
  </si>
  <si>
    <t xml:space="preserve">Поточний ремонт системи вентиляції Управління освіти за адресою вул.Центральна, 7 м.Покров Дніпропетровської області</t>
  </si>
  <si>
    <t xml:space="preserve">123-У/21</t>
  </si>
  <si>
    <t xml:space="preserve">Двері для КЗПО "БТДЮ"</t>
  </si>
  <si>
    <t xml:space="preserve">44220000-8 Столярні вироби</t>
  </si>
  <si>
    <t xml:space="preserve">197-П/21</t>
  </si>
  <si>
    <t xml:space="preserve">Поточний ремонт електрообладнання КЗ «СЗШ №9» за адресою вул.Л.Чайкіної,, 29а м.Покров Дніпропетровської області</t>
  </si>
  <si>
    <t xml:space="preserve">114-У/21</t>
  </si>
  <si>
    <t xml:space="preserve">Поточний ремонт електрообладнання КЗДО №21 за адресою вул.Л.Чайкіної, 10 м.Покров Дніпропетровської області</t>
  </si>
  <si>
    <t xml:space="preserve">118-У/21</t>
  </si>
  <si>
    <t xml:space="preserve">42650000-7 Ручні інструменти пневматичні чи моторизовані</t>
  </si>
  <si>
    <t xml:space="preserve">ФОП ТРИГУБ ІРИНА СЕРГІЇВНА</t>
  </si>
  <si>
    <t xml:space="preserve">205-П/21</t>
  </si>
  <si>
    <t xml:space="preserve">199-П/21</t>
  </si>
  <si>
    <t xml:space="preserve">Поточний ремонт системи опалення КПНЗ «ДЮСШ ім..Д.Дідіка» за адресою вул.Горького, 12 м.Покров Дніпропетровської області</t>
  </si>
  <si>
    <t xml:space="preserve">121-У/21</t>
  </si>
  <si>
    <t xml:space="preserve">Програмний комплекс АВК-5</t>
  </si>
  <si>
    <t xml:space="preserve">ТОВАРИСТВО З ОБМЕЖЕНОЮ ВІДПОВІДАЛЬНІСТЮ "ІТ - СЕРВІС"</t>
  </si>
  <si>
    <t xml:space="preserve">6/6989</t>
  </si>
  <si>
    <t xml:space="preserve">Канцелярське приладдя для КЗДО №16</t>
  </si>
  <si>
    <t xml:space="preserve">202-П/21</t>
  </si>
  <si>
    <t xml:space="preserve">Мийка для КЗ "Ліцей"</t>
  </si>
  <si>
    <t xml:space="preserve">179-П/21</t>
  </si>
  <si>
    <t xml:space="preserve">Фарба - грунт для КЗ "СЗШ №6"</t>
  </si>
  <si>
    <t xml:space="preserve">172-П/21</t>
  </si>
  <si>
    <t xml:space="preserve">Поточний ремонт системи водопостачання  КЗ «СЗШ №9» за адресою вул.Л.Чайкіної, 29а м.Покров Дніпропетровської області</t>
  </si>
  <si>
    <t xml:space="preserve">157-У/21</t>
  </si>
  <si>
    <t xml:space="preserve">Будівельні товари для КЗ "СЗШ №6"</t>
  </si>
  <si>
    <t xml:space="preserve">186-П/21</t>
  </si>
  <si>
    <t xml:space="preserve">Придбання холодильника для харчоблоку для комунального закладу дошкільної освіти №22 м. Покров Дніпропетровської області</t>
  </si>
  <si>
    <t xml:space="preserve">ФОП ЧАСНОК ГУЛЬНАР МАРДГАЛИМІВНА</t>
  </si>
  <si>
    <t xml:space="preserve">207-П/21</t>
  </si>
  <si>
    <t xml:space="preserve">Поточний ремонт системи водопостачання та водовідведення КЗ «НВО» за адресою вул.І.Малки, 15, вул.Фабрична, 1 м.Покров Дніпропетровської області</t>
  </si>
  <si>
    <t xml:space="preserve">98-У/21</t>
  </si>
  <si>
    <t xml:space="preserve">Склопакет для КЗДО №2</t>
  </si>
  <si>
    <t xml:space="preserve">14820000-5 Скло</t>
  </si>
  <si>
    <t xml:space="preserve">173-П/21</t>
  </si>
  <si>
    <t xml:space="preserve">Послуги із встановлення устаткування для фітнесу (вуличні тренажери) КЗ «СЗШ №9», за адресою вул.Чайкіної Лізи, 29-А м.Покров Дніпропетровської області</t>
  </si>
  <si>
    <t xml:space="preserve">ПКМП "Добробут"</t>
  </si>
  <si>
    <t xml:space="preserve">102-У/21</t>
  </si>
  <si>
    <t xml:space="preserve">Поточний ремонт електрообладнання КЗДО №21 за адресою вул. Л.Чайкіної, 10 м.Покров Дніпропетровської області</t>
  </si>
  <si>
    <t xml:space="preserve">144-У/21</t>
  </si>
  <si>
    <t xml:space="preserve">Емаль, фарба для КЗ "НВК №2"</t>
  </si>
  <si>
    <t xml:space="preserve">223-П/21</t>
  </si>
  <si>
    <t xml:space="preserve">Приладдя для образатворчого мистецтва для Нової української школи</t>
  </si>
  <si>
    <t xml:space="preserve">194-П/21</t>
  </si>
  <si>
    <t xml:space="preserve">Папір офісний А4 </t>
  </si>
  <si>
    <t xml:space="preserve">30197600-2 Оброблені папір і картон</t>
  </si>
  <si>
    <t xml:space="preserve">45-Д/21</t>
  </si>
  <si>
    <t xml:space="preserve">Чорнило для КЗ "Ліцей"</t>
  </si>
  <si>
    <t xml:space="preserve">ФОП ДОВГАН ОЛЕКСІЙ ЮРІЙОВИЧ</t>
  </si>
  <si>
    <t xml:space="preserve">175-П/21</t>
  </si>
  <si>
    <t xml:space="preserve">Поточний ремонт системи водопостачання КЗ «СЗШ №6» за адресою вул.Чіатурська,6 м.Покров Дніпропетровської області</t>
  </si>
  <si>
    <t xml:space="preserve">ФОп КОВТУН ДЕНИС ВАСИЛЬОВИЧ</t>
  </si>
  <si>
    <t xml:space="preserve">150-У/21</t>
  </si>
  <si>
    <t xml:space="preserve">Поточний ремонт електрообладнання КЗ «СЗШ №9» за адресою вул. Л.Чайкіної, 29а м.Покров Дніпропетровської області</t>
  </si>
  <si>
    <t xml:space="preserve">145-У/21</t>
  </si>
  <si>
    <t xml:space="preserve">UA-2021-10-06-001089-c</t>
  </si>
  <si>
    <t xml:space="preserve">Мережевий фільтр 3м 5 розеток</t>
  </si>
  <si>
    <t xml:space="preserve">32420000-3 </t>
  </si>
  <si>
    <t xml:space="preserve">УПСЗН</t>
  </si>
  <si>
    <t xml:space="preserve">26137831</t>
  </si>
  <si>
    <t xml:space="preserve">Фізична особа-підприємець Черноусов Віталій Олександрович</t>
  </si>
  <si>
    <t xml:space="preserve">2733313014</t>
  </si>
  <si>
    <t xml:space="preserve">UA-2021-10-25-010189-b</t>
  </si>
  <si>
    <t xml:space="preserve">Послуги з поточного ремонту шиферної покрівлі адміністративної будівлі за адресою вул. Горького, 5, м. Покров</t>
  </si>
  <si>
    <t xml:space="preserve">45260000-7</t>
  </si>
  <si>
    <t xml:space="preserve">26137832</t>
  </si>
  <si>
    <t xml:space="preserve">ТОВ "Побуткомфорт 2017"</t>
  </si>
  <si>
    <t xml:space="preserve">UA-2021-10-29-001261-c</t>
  </si>
  <si>
    <t xml:space="preserve">09310000-5</t>
  </si>
  <si>
    <t xml:space="preserve">26137833</t>
  </si>
  <si>
    <t xml:space="preserve">ТОВ "Дніпровські енергетичні послуги"</t>
  </si>
  <si>
    <t xml:space="preserve">UA-2021-11-24-000503-c</t>
  </si>
  <si>
    <t xml:space="preserve">Світильники LED-PRISMATIC-595-19-6400K-36W-220V-3000L-IP20</t>
  </si>
  <si>
    <t xml:space="preserve">31520000-7</t>
  </si>
  <si>
    <t xml:space="preserve">26137834</t>
  </si>
  <si>
    <t xml:space="preserve">ТОВ "Кабельні-технології"</t>
  </si>
  <si>
    <t xml:space="preserve">32950551</t>
  </si>
  <si>
    <t xml:space="preserve">UA-2021-12-22-007672-b</t>
  </si>
  <si>
    <t xml:space="preserve">26137835</t>
  </si>
  <si>
    <t xml:space="preserve">ТОВ "ДНІПРОВСЬКІ ЕНЕРГЕТИЧНІ ПОСЛУГИ"</t>
  </si>
  <si>
    <t xml:space="preserve">UA-2021-12-23-005565-b</t>
  </si>
  <si>
    <t xml:space="preserve">Кондиціонер настінний</t>
  </si>
  <si>
    <t xml:space="preserve">39710000-2</t>
  </si>
  <si>
    <t xml:space="preserve">ТОВ "ПЛАНЕТА КЛІМАТУ"</t>
  </si>
  <si>
    <t xml:space="preserve">39464781</t>
  </si>
  <si>
    <t xml:space="preserve">UA-2021-11-30-010524-c</t>
  </si>
  <si>
    <t xml:space="preserve">Фінансове управління Покровської міської ради</t>
  </si>
  <si>
    <t xml:space="preserve">02312399</t>
  </si>
  <si>
    <t xml:space="preserve">27 833,52</t>
  </si>
  <si>
    <t xml:space="preserve">UA-2021-11-24-008455-a</t>
  </si>
  <si>
    <t xml:space="preserve">UA-2021-11-24-008698-a</t>
  </si>
  <si>
    <t xml:space="preserve">22850000-3</t>
  </si>
  <si>
    <t xml:space="preserve">UA-2021-11-30-006781-c</t>
  </si>
  <si>
    <t xml:space="preserve">ФОП Петров В.В.</t>
  </si>
  <si>
    <t xml:space="preserve">Центр соціальних служб Покровської міської ради Дніпропетровської області</t>
  </si>
  <si>
    <t xml:space="preserve">32736968</t>
  </si>
  <si>
    <t xml:space="preserve">33140000-3 Медичні матеріали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</si>
</sst>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/MM/YY"/>
    <numFmt numFmtId="167" formatCode="#,##0.00"/>
    <numFmt numFmtId="168" formatCode="DD/MM/YYYY"/>
    <numFmt numFmtId="169" formatCode="0.00"/>
    <numFmt numFmtId="170" formatCode="DD\.MM\.YYYY"/>
    <numFmt numFmtId="171" formatCode="DD\.MM\.YYYY;@"/>
    <numFmt numFmtId="172" formatCode="000000"/>
    <numFmt numFmtId="173" formatCode="#,##0.00_р_.;[RED]#,##0.00_р_."/>
  </numFmts>
  <fonts count="25">
    <font>
      <sz val="1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b val="true"/>
      <sz val="10"/>
      <color rgb="FF333333"/>
      <name val="Arial"/>
      <family val="0"/>
      <charset val="1"/>
    </font>
    <font>
      <b val="true"/>
      <sz val="12"/>
      <color rgb="FF333333"/>
      <name val="Arial"/>
      <family val="0"/>
      <charset val="1"/>
    </font>
    <font>
      <sz val="10"/>
      <color rgb="FF000000"/>
      <name val="Calibri"/>
      <family val="2"/>
      <charset val="1"/>
    </font>
    <font>
      <sz val="10"/>
      <color rgb="FF0000FF"/>
      <name val="Calibri"/>
      <family val="2"/>
      <charset val="1"/>
    </font>
    <font>
      <sz val="10"/>
      <name val="Times New Roman"/>
      <family val="1"/>
      <charset val="204"/>
    </font>
    <font>
      <b val="true"/>
      <sz val="10"/>
      <color rgb="FF333333"/>
      <name val="Arial"/>
      <family val="0"/>
      <charset val="204"/>
    </font>
    <font>
      <b val="true"/>
      <sz val="12"/>
      <color rgb="FF333333"/>
      <name val="Arial"/>
      <family val="0"/>
      <charset val="204"/>
    </font>
    <font>
      <sz val="10"/>
      <color rgb="FF000000"/>
      <name val="Times New Roman"/>
      <family val="1"/>
      <charset val="1"/>
    </font>
    <font>
      <sz val="10"/>
      <color rgb="FF0000FF"/>
      <name val="Times New Roman"/>
      <family val="1"/>
      <charset val="1"/>
    </font>
    <font>
      <sz val="10"/>
      <name val="Times New Roman"/>
      <family val="1"/>
      <charset val="1"/>
    </font>
    <font>
      <sz val="10"/>
      <color rgb="FF333333"/>
      <name val="Times New Roman"/>
      <family val="1"/>
      <charset val="1"/>
    </font>
    <font>
      <u val="single"/>
      <sz val="10"/>
      <color rgb="FF0000FF"/>
      <name val="Arial"/>
      <family val="2"/>
      <charset val="204"/>
    </font>
    <font>
      <sz val="10"/>
      <color rgb="FF454545"/>
      <name val="Times New Roman"/>
      <family val="1"/>
      <charset val="1"/>
    </font>
    <font>
      <u val="single"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u val="single"/>
      <sz val="10"/>
      <color rgb="FF0000FF"/>
      <name val="Times New Roman"/>
      <family val="1"/>
      <charset val="1"/>
    </font>
    <font>
      <sz val="10"/>
      <color rgb="FF314155"/>
      <name val="Times New Roman"/>
      <family val="1"/>
      <charset val="1"/>
    </font>
    <font>
      <b val="true"/>
      <sz val="10"/>
      <color rgb="FF333333"/>
      <name val="Times New Roman"/>
      <family val="1"/>
      <charset val="1"/>
    </font>
    <font>
      <sz val="10"/>
      <color rgb="FF191919"/>
      <name val="Times New Roman"/>
      <family val="1"/>
      <charset val="1"/>
    </font>
    <font>
      <sz val="10"/>
      <color rgb="FF00008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5F5F5"/>
        <bgColor rgb="FFEEEEEE"/>
      </patternFill>
    </fill>
    <fill>
      <patternFill patternType="solid">
        <fgColor rgb="FFEEEEEE"/>
        <bgColor rgb="FFF5F5F5"/>
      </patternFill>
    </fill>
    <fill>
      <patternFill patternType="solid">
        <fgColor rgb="FFFFFFFF"/>
        <bgColor rgb="FFF5F5F5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0" fillId="0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7" fillId="0" borderId="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8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9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9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7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7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left" vertical="top" textRotation="0" wrapText="false" indent="0" shrinkToFit="false"/>
      <protection locked="true" hidden="false"/>
    </xf>
    <xf numFmtId="165" fontId="5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2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2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2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1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1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4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1" fontId="12" fillId="0" borderId="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0" borderId="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2" fontId="12" fillId="0" borderId="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2" fillId="0" borderId="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3" fontId="12" fillId="0" borderId="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12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20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22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23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23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23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23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5" xfId="21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5F5F5"/>
      <rgbColor rgb="FFEEEEEE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91919"/>
      <rgbColor rgb="FF454545"/>
      <rgbColor rgb="FF993300"/>
      <rgbColor rgb="FF993366"/>
      <rgbColor rgb="FF314155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hyperlink" Target="https://prozorro.gov.ua/tender/UA-2021-03-24-000512-a" TargetMode="External"/><Relationship Id="rId2" Type="http://schemas.openxmlformats.org/officeDocument/2006/relationships/hyperlink" Target="https://www.dzo.com.ua/tenders/10073719/bid/cfcd208495d565ef66e7dff9f98764da/info" TargetMode="External"/><Relationship Id="rId3" Type="http://schemas.openxmlformats.org/officeDocument/2006/relationships/hyperlink" Target="https://my.zakupki.prom.ua/cabinet/purchases/state_purchase/view/32402660" TargetMode="External"/><Relationship Id="rId4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76"/>
  <sheetViews>
    <sheetView showFormulas="false" showGridLines="true" showRowColHeaders="true" showZeros="true" rightToLeft="false" tabSelected="false" showOutlineSymbols="true" defaultGridColor="true" view="normal" topLeftCell="A72" colorId="64" zoomScale="100" zoomScaleNormal="100" zoomScalePageLayoutView="100" workbookViewId="0">
      <selection pane="topLeft" activeCell="F5" activeCellId="0" sqref="F5"/>
    </sheetView>
  </sheetViews>
  <sheetFormatPr defaultRowHeight="12.8" zeroHeight="false" outlineLevelRow="0" outlineLevelCol="0"/>
  <cols>
    <col collapsed="false" customWidth="true" hidden="false" outlineLevel="0" max="1" min="1" style="0" width="8.19"/>
    <col collapsed="false" customWidth="true" hidden="false" outlineLevel="0" max="2" min="2" style="0" width="26.29"/>
    <col collapsed="false" customWidth="true" hidden="false" outlineLevel="0" max="3" min="3" style="0" width="26.92"/>
    <col collapsed="false" customWidth="true" hidden="false" outlineLevel="0" max="4" min="4" style="0" width="28.57"/>
    <col collapsed="false" customWidth="true" hidden="false" outlineLevel="0" max="5" min="5" style="0" width="26.71"/>
    <col collapsed="false" customWidth="true" hidden="false" outlineLevel="0" max="6" min="6" style="0" width="15"/>
    <col collapsed="false" customWidth="true" hidden="false" outlineLevel="0" max="7" min="7" style="0" width="30.86"/>
    <col collapsed="false" customWidth="true" hidden="false" outlineLevel="0" max="8" min="8" style="0" width="19.42"/>
    <col collapsed="false" customWidth="true" hidden="false" outlineLevel="0" max="9" min="9" style="0" width="23.88"/>
    <col collapsed="false" customWidth="true" hidden="false" outlineLevel="0" max="1025" min="10" style="0" width="8.71"/>
  </cols>
  <sheetData>
    <row r="1" s="2" customFormat="true" ht="12.8" hidden="false" customHeight="true" outlineLevel="0" collapsed="false">
      <c r="A1" s="1"/>
      <c r="B1" s="1"/>
      <c r="C1" s="1"/>
      <c r="D1" s="1"/>
      <c r="E1" s="1"/>
      <c r="F1" s="1"/>
      <c r="G1" s="1"/>
      <c r="H1" s="1"/>
      <c r="I1" s="1"/>
      <c r="AMJ1" s="0"/>
    </row>
    <row r="2" s="2" customFormat="true" ht="59.05" hidden="false" customHeight="true" outlineLevel="0" collapsed="false">
      <c r="A2" s="3" t="s">
        <v>0</v>
      </c>
      <c r="B2" s="3"/>
      <c r="C2" s="3"/>
      <c r="D2" s="3"/>
      <c r="E2" s="3"/>
      <c r="F2" s="3"/>
      <c r="G2" s="3"/>
      <c r="H2" s="3"/>
      <c r="I2" s="3"/>
      <c r="AMJ2" s="0"/>
    </row>
    <row r="3" s="2" customFormat="true" ht="35.6" hidden="false" customHeight="false" outlineLevel="0" collapsed="false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AMJ3" s="0"/>
    </row>
    <row r="4" customFormat="false" ht="32.8" hidden="false" customHeight="false" outlineLevel="0" collapsed="false">
      <c r="A4" s="5" t="n">
        <v>44214.6593390913</v>
      </c>
      <c r="B4" s="6" t="str">
        <f aca="false">HYPERLINK("https://my.zakupki.prom.ua/remote/dispatcher/state_purchase_view/23030628", "UA-2021-01-18-004454-a")</f>
        <v>UA-2021-01-18-004454-a</v>
      </c>
      <c r="C4" s="7" t="s">
        <v>10</v>
      </c>
      <c r="D4" s="7" t="s">
        <v>11</v>
      </c>
      <c r="E4" s="7" t="s">
        <v>12</v>
      </c>
      <c r="F4" s="8" t="s">
        <v>13</v>
      </c>
      <c r="G4" s="7" t="s">
        <v>14</v>
      </c>
      <c r="H4" s="9" t="s">
        <v>15</v>
      </c>
      <c r="I4" s="10" t="n">
        <v>2150</v>
      </c>
    </row>
    <row r="5" customFormat="false" ht="32.8" hidden="false" customHeight="false" outlineLevel="0" collapsed="false">
      <c r="A5" s="5" t="n">
        <v>44230.4996965963</v>
      </c>
      <c r="B5" s="6" t="str">
        <f aca="false">HYPERLINK("https://my.zakupki.prom.ua/remote/dispatcher/state_purchase_view/23589401", "UA-2021-02-03-005031-a")</f>
        <v>UA-2021-02-03-005031-a</v>
      </c>
      <c r="C5" s="7" t="s">
        <v>10</v>
      </c>
      <c r="D5" s="7" t="s">
        <v>16</v>
      </c>
      <c r="E5" s="7" t="s">
        <v>12</v>
      </c>
      <c r="F5" s="8" t="s">
        <v>13</v>
      </c>
      <c r="G5" s="7" t="s">
        <v>14</v>
      </c>
      <c r="H5" s="9" t="s">
        <v>15</v>
      </c>
      <c r="I5" s="10" t="n">
        <v>2270</v>
      </c>
    </row>
    <row r="6" customFormat="false" ht="32.8" hidden="false" customHeight="false" outlineLevel="0" collapsed="false">
      <c r="A6" s="5" t="n">
        <v>44216.7248060352</v>
      </c>
      <c r="B6" s="6" t="str">
        <f aca="false">HYPERLINK("https://my.zakupki.prom.ua/remote/dispatcher/state_purchase_view/23103877", "UA-2021-01-20-007526-b")</f>
        <v>UA-2021-01-20-007526-b</v>
      </c>
      <c r="C6" s="7" t="s">
        <v>17</v>
      </c>
      <c r="D6" s="7" t="s">
        <v>18</v>
      </c>
      <c r="E6" s="7" t="s">
        <v>12</v>
      </c>
      <c r="F6" s="8" t="s">
        <v>13</v>
      </c>
      <c r="G6" s="7" t="s">
        <v>19</v>
      </c>
      <c r="H6" s="9" t="s">
        <v>20</v>
      </c>
      <c r="I6" s="10" t="n">
        <v>2700</v>
      </c>
    </row>
    <row r="7" customFormat="false" ht="32.8" hidden="false" customHeight="false" outlineLevel="0" collapsed="false">
      <c r="A7" s="5" t="n">
        <v>44235.4233360989</v>
      </c>
      <c r="B7" s="6" t="str">
        <f aca="false">HYPERLINK("https://my.zakupki.prom.ua/remote/dispatcher/state_purchase_view/23743235", "UA-2021-02-08-001445-a")</f>
        <v>UA-2021-02-08-001445-a</v>
      </c>
      <c r="C7" s="7" t="s">
        <v>21</v>
      </c>
      <c r="D7" s="7" t="s">
        <v>22</v>
      </c>
      <c r="E7" s="7" t="s">
        <v>12</v>
      </c>
      <c r="F7" s="8" t="s">
        <v>13</v>
      </c>
      <c r="G7" s="7" t="s">
        <v>23</v>
      </c>
      <c r="H7" s="9" t="s">
        <v>24</v>
      </c>
      <c r="I7" s="10" t="n">
        <v>17850</v>
      </c>
    </row>
    <row r="8" customFormat="false" ht="32.8" hidden="false" customHeight="false" outlineLevel="0" collapsed="false">
      <c r="A8" s="5" t="n">
        <v>44251.711076479</v>
      </c>
      <c r="B8" s="6" t="str">
        <f aca="false">HYPERLINK("https://my.zakupki.prom.ua/remote/dispatcher/state_purchase_view/24369116", "UA-2021-02-24-013515-b")</f>
        <v>UA-2021-02-24-013515-b</v>
      </c>
      <c r="C8" s="7" t="s">
        <v>25</v>
      </c>
      <c r="D8" s="7" t="s">
        <v>26</v>
      </c>
      <c r="E8" s="7" t="s">
        <v>12</v>
      </c>
      <c r="F8" s="8" t="s">
        <v>13</v>
      </c>
      <c r="G8" s="7" t="s">
        <v>27</v>
      </c>
      <c r="H8" s="9" t="s">
        <v>28</v>
      </c>
      <c r="I8" s="10" t="n">
        <v>45</v>
      </c>
    </row>
    <row r="9" customFormat="false" ht="32.8" hidden="false" customHeight="false" outlineLevel="0" collapsed="false">
      <c r="A9" s="5" t="n">
        <v>44244.6981104664</v>
      </c>
      <c r="B9" s="6" t="str">
        <f aca="false">HYPERLINK("https://my.zakupki.prom.ua/remote/dispatcher/state_purchase_view/23542778", "UA-2021-02-02-008888-a")</f>
        <v>UA-2021-02-02-008888-a</v>
      </c>
      <c r="C9" s="7" t="s">
        <v>29</v>
      </c>
      <c r="D9" s="7" t="s">
        <v>30</v>
      </c>
      <c r="E9" s="7" t="s">
        <v>12</v>
      </c>
      <c r="F9" s="8" t="s">
        <v>13</v>
      </c>
      <c r="G9" s="7" t="s">
        <v>31</v>
      </c>
      <c r="H9" s="9" t="s">
        <v>32</v>
      </c>
      <c r="I9" s="10" t="n">
        <v>2334</v>
      </c>
    </row>
    <row r="10" customFormat="false" ht="32.8" hidden="false" customHeight="false" outlineLevel="0" collapsed="false">
      <c r="A10" s="5" t="n">
        <v>44272.4648748495</v>
      </c>
      <c r="B10" s="6" t="str">
        <f aca="false">HYPERLINK("https://my.zakupki.prom.ua/remote/dispatcher/state_purchase_view/24972698", "UA-2021-03-17-004389-c")</f>
        <v>UA-2021-03-17-004389-c</v>
      </c>
      <c r="C10" s="7" t="s">
        <v>33</v>
      </c>
      <c r="D10" s="7" t="s">
        <v>34</v>
      </c>
      <c r="E10" s="7" t="s">
        <v>12</v>
      </c>
      <c r="F10" s="8" t="s">
        <v>13</v>
      </c>
      <c r="G10" s="7" t="s">
        <v>35</v>
      </c>
      <c r="H10" s="9" t="s">
        <v>36</v>
      </c>
      <c r="I10" s="10" t="n">
        <v>126</v>
      </c>
    </row>
    <row r="11" customFormat="false" ht="32.8" hidden="false" customHeight="false" outlineLevel="0" collapsed="false">
      <c r="A11" s="5" t="n">
        <v>44271.420144049</v>
      </c>
      <c r="B11" s="6" t="str">
        <f aca="false">HYPERLINK("https://my.zakupki.prom.ua/remote/dispatcher/state_purchase_view/24918569", "UA-2021-03-16-000550-a")</f>
        <v>UA-2021-03-16-000550-a</v>
      </c>
      <c r="C11" s="7" t="s">
        <v>37</v>
      </c>
      <c r="D11" s="7" t="s">
        <v>38</v>
      </c>
      <c r="E11" s="7" t="s">
        <v>12</v>
      </c>
      <c r="F11" s="8" t="s">
        <v>13</v>
      </c>
      <c r="G11" s="7" t="s">
        <v>39</v>
      </c>
      <c r="H11" s="9" t="s">
        <v>24</v>
      </c>
      <c r="I11" s="10" t="n">
        <v>15435</v>
      </c>
    </row>
    <row r="12" customFormat="false" ht="32.8" hidden="false" customHeight="false" outlineLevel="0" collapsed="false">
      <c r="A12" s="5" t="n">
        <v>44259.5656570382</v>
      </c>
      <c r="B12" s="6" t="str">
        <f aca="false">HYPERLINK("https://my.zakupki.prom.ua/remote/dispatcher/state_purchase_view/24603077", "UA-2021-03-04-006470-c")</f>
        <v>UA-2021-03-04-006470-c</v>
      </c>
      <c r="C12" s="7" t="s">
        <v>40</v>
      </c>
      <c r="D12" s="7" t="s">
        <v>16</v>
      </c>
      <c r="E12" s="7" t="s">
        <v>12</v>
      </c>
      <c r="F12" s="8" t="s">
        <v>13</v>
      </c>
      <c r="G12" s="7" t="s">
        <v>14</v>
      </c>
      <c r="H12" s="9" t="s">
        <v>15</v>
      </c>
      <c r="I12" s="10" t="n">
        <v>5070</v>
      </c>
    </row>
    <row r="13" customFormat="false" ht="43.1" hidden="false" customHeight="false" outlineLevel="0" collapsed="false">
      <c r="A13" s="5" t="n">
        <v>44222.6963881741</v>
      </c>
      <c r="B13" s="6" t="str">
        <f aca="false">HYPERLINK("https://my.zakupki.prom.ua/remote/dispatcher/state_purchase_view/23290776", "UA-2021-01-26-010657-b")</f>
        <v>UA-2021-01-26-010657-b</v>
      </c>
      <c r="C13" s="7" t="s">
        <v>41</v>
      </c>
      <c r="D13" s="7" t="s">
        <v>42</v>
      </c>
      <c r="E13" s="7" t="s">
        <v>12</v>
      </c>
      <c r="F13" s="8" t="s">
        <v>13</v>
      </c>
      <c r="G13" s="7" t="s">
        <v>43</v>
      </c>
      <c r="H13" s="9" t="s">
        <v>44</v>
      </c>
      <c r="I13" s="10" t="n">
        <v>5941.34</v>
      </c>
    </row>
    <row r="14" customFormat="false" ht="32.8" hidden="false" customHeight="false" outlineLevel="0" collapsed="false">
      <c r="A14" s="5" t="n">
        <v>44224.5626647622</v>
      </c>
      <c r="B14" s="6" t="str">
        <f aca="false">HYPERLINK("https://my.zakupki.prom.ua/remote/dispatcher/state_purchase_view/23359103", "UA-2021-01-28-000507-b")</f>
        <v>UA-2021-01-28-000507-b</v>
      </c>
      <c r="C14" s="7" t="s">
        <v>45</v>
      </c>
      <c r="D14" s="7" t="s">
        <v>46</v>
      </c>
      <c r="E14" s="7" t="s">
        <v>12</v>
      </c>
      <c r="F14" s="8" t="s">
        <v>13</v>
      </c>
      <c r="G14" s="7" t="s">
        <v>47</v>
      </c>
      <c r="H14" s="9" t="s">
        <v>48</v>
      </c>
      <c r="I14" s="10" t="n">
        <v>15880</v>
      </c>
    </row>
    <row r="15" customFormat="false" ht="63.75" hidden="false" customHeight="false" outlineLevel="0" collapsed="false">
      <c r="A15" s="5" t="n">
        <v>44258.5014077382</v>
      </c>
      <c r="B15" s="6" t="str">
        <f aca="false">HYPERLINK("https://my.zakupki.prom.ua/remote/dispatcher/state_purchase_view/24561769", "UA-2021-03-03-004372-c")</f>
        <v>UA-2021-03-03-004372-c</v>
      </c>
      <c r="C15" s="7" t="s">
        <v>49</v>
      </c>
      <c r="D15" s="7" t="s">
        <v>50</v>
      </c>
      <c r="E15" s="7" t="s">
        <v>12</v>
      </c>
      <c r="F15" s="8" t="s">
        <v>13</v>
      </c>
      <c r="G15" s="7" t="s">
        <v>51</v>
      </c>
      <c r="H15" s="9" t="s">
        <v>52</v>
      </c>
      <c r="I15" s="10" t="n">
        <v>2735</v>
      </c>
    </row>
    <row r="16" customFormat="false" ht="32.8" hidden="false" customHeight="false" outlineLevel="0" collapsed="false">
      <c r="A16" s="5" t="n">
        <v>44251.6306948236</v>
      </c>
      <c r="B16" s="6" t="str">
        <f aca="false">HYPERLINK("https://my.zakupki.prom.ua/remote/dispatcher/state_purchase_view/24359083", "UA-2021-02-24-010156-b")</f>
        <v>UA-2021-02-24-010156-b</v>
      </c>
      <c r="C16" s="7" t="s">
        <v>25</v>
      </c>
      <c r="D16" s="7" t="s">
        <v>53</v>
      </c>
      <c r="E16" s="7" t="s">
        <v>12</v>
      </c>
      <c r="F16" s="8" t="s">
        <v>13</v>
      </c>
      <c r="G16" s="7" t="s">
        <v>27</v>
      </c>
      <c r="H16" s="9" t="s">
        <v>28</v>
      </c>
      <c r="I16" s="10" t="n">
        <v>34</v>
      </c>
    </row>
    <row r="17" customFormat="false" ht="53.4" hidden="false" customHeight="false" outlineLevel="0" collapsed="false">
      <c r="A17" s="5" t="n">
        <v>44256.3893680077</v>
      </c>
      <c r="B17" s="6" t="str">
        <f aca="false">HYPERLINK("https://my.zakupki.prom.ua/remote/dispatcher/state_purchase_view/23600377", "UA-2021-02-03-007932-a")</f>
        <v>UA-2021-02-03-007932-a</v>
      </c>
      <c r="C17" s="7" t="s">
        <v>54</v>
      </c>
      <c r="D17" s="7" t="s">
        <v>55</v>
      </c>
      <c r="E17" s="7" t="s">
        <v>12</v>
      </c>
      <c r="F17" s="8" t="s">
        <v>13</v>
      </c>
      <c r="G17" s="7" t="s">
        <v>56</v>
      </c>
      <c r="H17" s="9" t="s">
        <v>57</v>
      </c>
      <c r="I17" s="10" t="n">
        <v>14929.41</v>
      </c>
    </row>
    <row r="18" customFormat="false" ht="84.35" hidden="false" customHeight="false" outlineLevel="0" collapsed="false">
      <c r="A18" s="5" t="n">
        <v>44273.4486707123</v>
      </c>
      <c r="B18" s="6" t="str">
        <f aca="false">HYPERLINK("https://my.zakupki.prom.ua/remote/dispatcher/state_purchase_view/25015845", "UA-2021-03-18-001517-a")</f>
        <v>UA-2021-03-18-001517-a</v>
      </c>
      <c r="C18" s="7" t="s">
        <v>58</v>
      </c>
      <c r="D18" s="7" t="s">
        <v>59</v>
      </c>
      <c r="E18" s="7" t="s">
        <v>12</v>
      </c>
      <c r="F18" s="8" t="s">
        <v>13</v>
      </c>
      <c r="G18" s="7" t="s">
        <v>60</v>
      </c>
      <c r="H18" s="9" t="s">
        <v>61</v>
      </c>
      <c r="I18" s="10" t="n">
        <v>16075.69</v>
      </c>
    </row>
    <row r="19" customFormat="false" ht="63.75" hidden="false" customHeight="false" outlineLevel="0" collapsed="false">
      <c r="A19" s="5" t="n">
        <v>44242.3669173045</v>
      </c>
      <c r="B19" s="6" t="str">
        <f aca="false">HYPERLINK("https://my.zakupki.prom.ua/remote/dispatcher/state_purchase_view/23959530", "UA-2021-02-12-004164-c")</f>
        <v>UA-2021-02-12-004164-c</v>
      </c>
      <c r="C19" s="7" t="s">
        <v>62</v>
      </c>
      <c r="D19" s="7" t="s">
        <v>63</v>
      </c>
      <c r="E19" s="7" t="s">
        <v>12</v>
      </c>
      <c r="F19" s="8" t="s">
        <v>13</v>
      </c>
      <c r="G19" s="7" t="s">
        <v>64</v>
      </c>
      <c r="H19" s="9" t="s">
        <v>65</v>
      </c>
      <c r="I19" s="10" t="n">
        <v>14797.95</v>
      </c>
    </row>
    <row r="20" customFormat="false" ht="32.8" hidden="false" customHeight="false" outlineLevel="0" collapsed="false">
      <c r="A20" s="5" t="n">
        <v>44270.6982664594</v>
      </c>
      <c r="B20" s="6" t="str">
        <f aca="false">HYPERLINK("https://my.zakupki.prom.ua/remote/dispatcher/state_purchase_view/24903308", "UA-2021-03-15-011477-b")</f>
        <v>UA-2021-03-15-011477-b</v>
      </c>
      <c r="C20" s="7" t="s">
        <v>66</v>
      </c>
      <c r="D20" s="7" t="s">
        <v>67</v>
      </c>
      <c r="E20" s="7" t="s">
        <v>12</v>
      </c>
      <c r="F20" s="8" t="s">
        <v>13</v>
      </c>
      <c r="G20" s="7" t="s">
        <v>68</v>
      </c>
      <c r="H20" s="9" t="s">
        <v>69</v>
      </c>
      <c r="I20" s="10" t="n">
        <v>490</v>
      </c>
    </row>
    <row r="21" customFormat="false" ht="43.1" hidden="false" customHeight="false" outlineLevel="0" collapsed="false">
      <c r="A21" s="5" t="n">
        <v>44230.4057159441</v>
      </c>
      <c r="B21" s="6" t="str">
        <f aca="false">HYPERLINK("https://my.zakupki.prom.ua/remote/dispatcher/state_purchase_view/23576226", "UA-2021-02-03-001341-a")</f>
        <v>UA-2021-02-03-001341-a</v>
      </c>
      <c r="C21" s="7" t="s">
        <v>70</v>
      </c>
      <c r="D21" s="7" t="s">
        <v>71</v>
      </c>
      <c r="E21" s="7" t="s">
        <v>12</v>
      </c>
      <c r="F21" s="8" t="s">
        <v>13</v>
      </c>
      <c r="G21" s="7" t="s">
        <v>72</v>
      </c>
      <c r="H21" s="9" t="s">
        <v>73</v>
      </c>
      <c r="I21" s="10" t="n">
        <v>756</v>
      </c>
    </row>
    <row r="22" customFormat="false" ht="53.4" hidden="false" customHeight="false" outlineLevel="0" collapsed="false">
      <c r="A22" s="5" t="n">
        <v>44218.5864051938</v>
      </c>
      <c r="B22" s="6" t="str">
        <f aca="false">HYPERLINK("https://my.zakupki.prom.ua/remote/dispatcher/state_purchase_view/23170514", "UA-2021-01-22-006814-b")</f>
        <v>UA-2021-01-22-006814-b</v>
      </c>
      <c r="C22" s="7" t="s">
        <v>74</v>
      </c>
      <c r="D22" s="7" t="s">
        <v>75</v>
      </c>
      <c r="E22" s="7" t="s">
        <v>12</v>
      </c>
      <c r="F22" s="8" t="s">
        <v>13</v>
      </c>
      <c r="G22" s="7" t="s">
        <v>76</v>
      </c>
      <c r="H22" s="9" t="s">
        <v>77</v>
      </c>
      <c r="I22" s="10" t="n">
        <v>43776</v>
      </c>
    </row>
    <row r="23" customFormat="false" ht="32.8" hidden="false" customHeight="false" outlineLevel="0" collapsed="false">
      <c r="A23" s="5" t="n">
        <v>44214.4462235924</v>
      </c>
      <c r="B23" s="6" t="str">
        <f aca="false">HYPERLINK("https://my.zakupki.prom.ua/remote/dispatcher/state_purchase_view/23012123", "UA-2021-01-18-000373-a")</f>
        <v>UA-2021-01-18-000373-a</v>
      </c>
      <c r="C23" s="7" t="s">
        <v>78</v>
      </c>
      <c r="D23" s="7" t="s">
        <v>79</v>
      </c>
      <c r="E23" s="7" t="s">
        <v>12</v>
      </c>
      <c r="F23" s="8" t="s">
        <v>13</v>
      </c>
      <c r="G23" s="7" t="s">
        <v>80</v>
      </c>
      <c r="H23" s="9" t="s">
        <v>81</v>
      </c>
      <c r="I23" s="10" t="n">
        <v>3160</v>
      </c>
    </row>
    <row r="24" customFormat="false" ht="84.35" hidden="false" customHeight="false" outlineLevel="0" collapsed="false">
      <c r="A24" s="5" t="n">
        <v>44273.468259545</v>
      </c>
      <c r="B24" s="6" t="str">
        <f aca="false">HYPERLINK("https://my.zakupki.prom.ua/remote/dispatcher/state_purchase_view/25019996", "UA-2021-03-18-002734-a")</f>
        <v>UA-2021-03-18-002734-a</v>
      </c>
      <c r="C24" s="7" t="s">
        <v>82</v>
      </c>
      <c r="D24" s="7" t="s">
        <v>59</v>
      </c>
      <c r="E24" s="7" t="s">
        <v>12</v>
      </c>
      <c r="F24" s="8" t="s">
        <v>13</v>
      </c>
      <c r="G24" s="7" t="s">
        <v>60</v>
      </c>
      <c r="H24" s="9" t="s">
        <v>61</v>
      </c>
      <c r="I24" s="10" t="n">
        <v>16725.47</v>
      </c>
    </row>
    <row r="25" customFormat="false" ht="32.8" hidden="false" customHeight="false" outlineLevel="0" collapsed="false">
      <c r="A25" s="5" t="n">
        <v>44250.711596322</v>
      </c>
      <c r="B25" s="6" t="str">
        <f aca="false">HYPERLINK("https://my.zakupki.prom.ua/remote/dispatcher/state_purchase_view/24323067", "UA-2021-02-23-014227-b")</f>
        <v>UA-2021-02-23-014227-b</v>
      </c>
      <c r="C25" s="7" t="s">
        <v>25</v>
      </c>
      <c r="D25" s="7" t="s">
        <v>83</v>
      </c>
      <c r="E25" s="7" t="s">
        <v>12</v>
      </c>
      <c r="F25" s="8" t="s">
        <v>13</v>
      </c>
      <c r="G25" s="7" t="s">
        <v>27</v>
      </c>
      <c r="H25" s="9" t="s">
        <v>28</v>
      </c>
      <c r="I25" s="10" t="n">
        <v>46</v>
      </c>
    </row>
    <row r="26" customFormat="false" ht="32.8" hidden="false" customHeight="false" outlineLevel="0" collapsed="false">
      <c r="A26" s="5" t="n">
        <v>44251.7208153612</v>
      </c>
      <c r="B26" s="6" t="str">
        <f aca="false">HYPERLINK("https://my.zakupki.prom.ua/remote/dispatcher/state_purchase_view/24370082", "UA-2021-02-24-013876-b")</f>
        <v>UA-2021-02-24-013876-b</v>
      </c>
      <c r="C26" s="7" t="s">
        <v>25</v>
      </c>
      <c r="D26" s="7" t="s">
        <v>84</v>
      </c>
      <c r="E26" s="7" t="s">
        <v>12</v>
      </c>
      <c r="F26" s="8" t="s">
        <v>13</v>
      </c>
      <c r="G26" s="7" t="s">
        <v>27</v>
      </c>
      <c r="H26" s="9" t="s">
        <v>28</v>
      </c>
      <c r="I26" s="10" t="n">
        <v>76</v>
      </c>
    </row>
    <row r="27" customFormat="false" ht="43.1" hidden="false" customHeight="false" outlineLevel="0" collapsed="false">
      <c r="A27" s="5" t="n">
        <v>44253.6745142793</v>
      </c>
      <c r="B27" s="6" t="str">
        <f aca="false">HYPERLINK("https://my.zakupki.prom.ua/remote/dispatcher/state_purchase_view/23427823", "UA-2021-01-29-004061-b")</f>
        <v>UA-2021-01-29-004061-b</v>
      </c>
      <c r="C27" s="7" t="s">
        <v>85</v>
      </c>
      <c r="D27" s="7" t="s">
        <v>86</v>
      </c>
      <c r="E27" s="7" t="s">
        <v>12</v>
      </c>
      <c r="F27" s="8" t="s">
        <v>13</v>
      </c>
      <c r="G27" s="7" t="s">
        <v>87</v>
      </c>
      <c r="H27" s="9" t="s">
        <v>88</v>
      </c>
      <c r="I27" s="10" t="n">
        <v>37811.4</v>
      </c>
    </row>
    <row r="28" customFormat="false" ht="125.6" hidden="false" customHeight="false" outlineLevel="0" collapsed="false">
      <c r="A28" s="5" t="n">
        <v>44266.6941463569</v>
      </c>
      <c r="B28" s="6" t="str">
        <f aca="false">HYPERLINK("https://my.zakupki.prom.ua/remote/dispatcher/state_purchase_view/24810666", "UA-2021-03-11-011751-b")</f>
        <v>UA-2021-03-11-011751-b</v>
      </c>
      <c r="C28" s="7" t="s">
        <v>89</v>
      </c>
      <c r="D28" s="7" t="s">
        <v>90</v>
      </c>
      <c r="E28" s="7" t="s">
        <v>12</v>
      </c>
      <c r="F28" s="8" t="s">
        <v>13</v>
      </c>
      <c r="G28" s="7" t="s">
        <v>91</v>
      </c>
      <c r="H28" s="9" t="s">
        <v>92</v>
      </c>
      <c r="I28" s="10" t="n">
        <v>1480</v>
      </c>
    </row>
    <row r="29" customFormat="false" ht="32.8" hidden="false" customHeight="false" outlineLevel="0" collapsed="false">
      <c r="A29" s="5" t="n">
        <v>44284.3904347917</v>
      </c>
      <c r="B29" s="6" t="str">
        <f aca="false">HYPERLINK("https://my.zakupki.prom.ua/remote/dispatcher/state_purchase_view/25328518", "UA-2021-03-29-000537-a")</f>
        <v>UA-2021-03-29-000537-a</v>
      </c>
      <c r="C29" s="7" t="s">
        <v>93</v>
      </c>
      <c r="D29" s="7" t="s">
        <v>94</v>
      </c>
      <c r="E29" s="7" t="s">
        <v>12</v>
      </c>
      <c r="F29" s="8" t="s">
        <v>13</v>
      </c>
      <c r="G29" s="7" t="s">
        <v>95</v>
      </c>
      <c r="H29" s="9" t="s">
        <v>96</v>
      </c>
      <c r="I29" s="10" t="n">
        <v>587.5</v>
      </c>
    </row>
    <row r="30" customFormat="false" ht="32.8" hidden="false" customHeight="false" outlineLevel="0" collapsed="false">
      <c r="A30" s="5" t="n">
        <v>44281.6598156792</v>
      </c>
      <c r="B30" s="6" t="str">
        <f aca="false">HYPERLINK("https://my.zakupki.prom.ua/remote/dispatcher/state_purchase_view/25270227", "UA-2021-03-26-004043-b")</f>
        <v>UA-2021-03-26-004043-b</v>
      </c>
      <c r="C30" s="7" t="s">
        <v>97</v>
      </c>
      <c r="D30" s="7" t="s">
        <v>98</v>
      </c>
      <c r="E30" s="7" t="s">
        <v>12</v>
      </c>
      <c r="F30" s="8" t="s">
        <v>13</v>
      </c>
      <c r="G30" s="7" t="s">
        <v>99</v>
      </c>
      <c r="H30" s="9" t="s">
        <v>100</v>
      </c>
      <c r="I30" s="10" t="n">
        <v>405</v>
      </c>
    </row>
    <row r="31" customFormat="false" ht="32.8" hidden="false" customHeight="false" outlineLevel="0" collapsed="false">
      <c r="A31" s="5" t="n">
        <v>44217.6927039181</v>
      </c>
      <c r="B31" s="6" t="str">
        <f aca="false">HYPERLINK("https://my.zakupki.prom.ua/remote/dispatcher/state_purchase_view/23111395", "UA-2021-01-21-001158-b")</f>
        <v>UA-2021-01-21-001158-b</v>
      </c>
      <c r="C31" s="7" t="s">
        <v>101</v>
      </c>
      <c r="D31" s="7" t="s">
        <v>102</v>
      </c>
      <c r="E31" s="7" t="s">
        <v>12</v>
      </c>
      <c r="F31" s="8" t="s">
        <v>13</v>
      </c>
      <c r="G31" s="7" t="s">
        <v>103</v>
      </c>
      <c r="H31" s="9" t="s">
        <v>104</v>
      </c>
      <c r="I31" s="10" t="n">
        <v>20998</v>
      </c>
    </row>
    <row r="32" customFormat="false" ht="32.8" hidden="false" customHeight="false" outlineLevel="0" collapsed="false">
      <c r="A32" s="5" t="n">
        <v>44250.7219976188</v>
      </c>
      <c r="B32" s="6" t="str">
        <f aca="false">HYPERLINK("https://my.zakupki.prom.ua/remote/dispatcher/state_purchase_view/24323820", "UA-2021-02-23-014474-b")</f>
        <v>UA-2021-02-23-014474-b</v>
      </c>
      <c r="C32" s="7" t="s">
        <v>25</v>
      </c>
      <c r="D32" s="7" t="s">
        <v>105</v>
      </c>
      <c r="E32" s="7" t="s">
        <v>12</v>
      </c>
      <c r="F32" s="8" t="s">
        <v>13</v>
      </c>
      <c r="G32" s="7" t="s">
        <v>27</v>
      </c>
      <c r="H32" s="9" t="s">
        <v>28</v>
      </c>
      <c r="I32" s="10" t="n">
        <v>697</v>
      </c>
    </row>
    <row r="33" customFormat="false" ht="32.8" hidden="false" customHeight="false" outlineLevel="0" collapsed="false">
      <c r="A33" s="5" t="n">
        <v>44256.6524239425</v>
      </c>
      <c r="B33" s="6" t="str">
        <f aca="false">HYPERLINK("https://my.zakupki.prom.ua/remote/dispatcher/state_purchase_view/23520073", "UA-2021-02-02-001334-a")</f>
        <v>UA-2021-02-02-001334-a</v>
      </c>
      <c r="C33" s="7" t="s">
        <v>106</v>
      </c>
      <c r="D33" s="7" t="s">
        <v>107</v>
      </c>
      <c r="E33" s="7" t="s">
        <v>12</v>
      </c>
      <c r="F33" s="8" t="s">
        <v>13</v>
      </c>
      <c r="G33" s="7" t="s">
        <v>108</v>
      </c>
      <c r="H33" s="9" t="s">
        <v>109</v>
      </c>
      <c r="I33" s="10" t="n">
        <v>8190</v>
      </c>
    </row>
    <row r="34" customFormat="false" ht="74.05" hidden="false" customHeight="false" outlineLevel="0" collapsed="false">
      <c r="A34" s="5" t="n">
        <v>44273.4184971979</v>
      </c>
      <c r="B34" s="6" t="str">
        <f aca="false">HYPERLINK("https://my.zakupki.prom.ua/remote/dispatcher/state_purchase_view/25014827", "UA-2021-03-18-001187-a")</f>
        <v>UA-2021-03-18-001187-a</v>
      </c>
      <c r="C34" s="7" t="s">
        <v>110</v>
      </c>
      <c r="D34" s="7" t="s">
        <v>59</v>
      </c>
      <c r="E34" s="7" t="s">
        <v>12</v>
      </c>
      <c r="F34" s="8" t="s">
        <v>13</v>
      </c>
      <c r="G34" s="7" t="s">
        <v>60</v>
      </c>
      <c r="H34" s="9" t="s">
        <v>61</v>
      </c>
      <c r="I34" s="10" t="n">
        <v>16725.47</v>
      </c>
    </row>
    <row r="35" customFormat="false" ht="32.8" hidden="false" customHeight="false" outlineLevel="0" collapsed="false">
      <c r="A35" s="5" t="n">
        <v>44217.6631804449</v>
      </c>
      <c r="B35" s="6" t="str">
        <f aca="false">HYPERLINK("https://my.zakupki.prom.ua/remote/dispatcher/state_purchase_view/23136067", "UA-2021-01-21-008382-b")</f>
        <v>UA-2021-01-21-008382-b</v>
      </c>
      <c r="C35" s="7" t="s">
        <v>101</v>
      </c>
      <c r="D35" s="7" t="s">
        <v>102</v>
      </c>
      <c r="E35" s="7" t="s">
        <v>12</v>
      </c>
      <c r="F35" s="8" t="s">
        <v>13</v>
      </c>
      <c r="G35" s="7" t="s">
        <v>111</v>
      </c>
      <c r="H35" s="9" t="s">
        <v>112</v>
      </c>
      <c r="I35" s="10" t="n">
        <v>6000</v>
      </c>
    </row>
    <row r="36" customFormat="false" ht="32.8" hidden="false" customHeight="false" outlineLevel="0" collapsed="false">
      <c r="A36" s="5" t="n">
        <v>44217.7049305677</v>
      </c>
      <c r="B36" s="6" t="str">
        <f aca="false">HYPERLINK("https://my.zakupki.prom.ua/remote/dispatcher/state_purchase_view/23142718", "UA-2021-01-21-010314-b")</f>
        <v>UA-2021-01-21-010314-b</v>
      </c>
      <c r="C36" s="7" t="s">
        <v>101</v>
      </c>
      <c r="D36" s="7" t="s">
        <v>102</v>
      </c>
      <c r="E36" s="7" t="s">
        <v>12</v>
      </c>
      <c r="F36" s="8" t="s">
        <v>13</v>
      </c>
      <c r="G36" s="7" t="s">
        <v>103</v>
      </c>
      <c r="H36" s="9" t="s">
        <v>104</v>
      </c>
      <c r="I36" s="10" t="n">
        <v>20988</v>
      </c>
    </row>
    <row r="37" customFormat="false" ht="53.4" hidden="false" customHeight="false" outlineLevel="0" collapsed="false">
      <c r="A37" s="5" t="n">
        <v>44222.7152553087</v>
      </c>
      <c r="B37" s="6" t="str">
        <f aca="false">HYPERLINK("https://my.zakupki.prom.ua/remote/dispatcher/state_purchase_view/23293374", "UA-2021-01-26-011210-b")</f>
        <v>UA-2021-01-26-011210-b</v>
      </c>
      <c r="C37" s="7" t="s">
        <v>113</v>
      </c>
      <c r="D37" s="7" t="s">
        <v>114</v>
      </c>
      <c r="E37" s="7" t="s">
        <v>12</v>
      </c>
      <c r="F37" s="8" t="s">
        <v>13</v>
      </c>
      <c r="G37" s="7" t="s">
        <v>115</v>
      </c>
      <c r="H37" s="9" t="s">
        <v>116</v>
      </c>
      <c r="I37" s="10" t="n">
        <v>10254.28</v>
      </c>
    </row>
    <row r="38" customFormat="false" ht="32.8" hidden="false" customHeight="false" outlineLevel="0" collapsed="false">
      <c r="A38" s="5" t="n">
        <v>44230.4940744654</v>
      </c>
      <c r="B38" s="6" t="str">
        <f aca="false">HYPERLINK("https://my.zakupki.prom.ua/remote/dispatcher/state_purchase_view/23588331", "UA-2021-02-03-004751-a")</f>
        <v>UA-2021-02-03-004751-a</v>
      </c>
      <c r="C38" s="7" t="s">
        <v>117</v>
      </c>
      <c r="D38" s="7" t="s">
        <v>118</v>
      </c>
      <c r="E38" s="7" t="s">
        <v>12</v>
      </c>
      <c r="F38" s="8" t="s">
        <v>13</v>
      </c>
      <c r="G38" s="7" t="s">
        <v>119</v>
      </c>
      <c r="H38" s="9" t="s">
        <v>120</v>
      </c>
      <c r="I38" s="10" t="n">
        <v>3600</v>
      </c>
    </row>
    <row r="39" customFormat="false" ht="32.8" hidden="false" customHeight="false" outlineLevel="0" collapsed="false">
      <c r="A39" s="5" t="n">
        <v>44250.7070421551</v>
      </c>
      <c r="B39" s="6" t="str">
        <f aca="false">HYPERLINK("https://my.zakupki.prom.ua/remote/dispatcher/state_purchase_view/24322639", "UA-2021-02-23-014076-b")</f>
        <v>UA-2021-02-23-014076-b</v>
      </c>
      <c r="C39" s="7" t="s">
        <v>25</v>
      </c>
      <c r="D39" s="7" t="s">
        <v>121</v>
      </c>
      <c r="E39" s="7" t="s">
        <v>12</v>
      </c>
      <c r="F39" s="8" t="s">
        <v>13</v>
      </c>
      <c r="G39" s="7" t="s">
        <v>27</v>
      </c>
      <c r="H39" s="9" t="s">
        <v>28</v>
      </c>
      <c r="I39" s="10" t="n">
        <v>163</v>
      </c>
    </row>
    <row r="40" customFormat="false" ht="32.8" hidden="false" customHeight="false" outlineLevel="0" collapsed="false">
      <c r="A40" s="5" t="n">
        <v>44271.7295444727</v>
      </c>
      <c r="B40" s="6" t="str">
        <f aca="false">HYPERLINK("https://my.zakupki.prom.ua/remote/dispatcher/state_purchase_view/24956537", "UA-2021-03-16-013470-c")</f>
        <v>UA-2021-03-16-013470-c</v>
      </c>
      <c r="C40" s="7" t="s">
        <v>33</v>
      </c>
      <c r="D40" s="7" t="s">
        <v>34</v>
      </c>
      <c r="E40" s="7" t="s">
        <v>12</v>
      </c>
      <c r="F40" s="8" t="s">
        <v>13</v>
      </c>
      <c r="G40" s="7" t="s">
        <v>122</v>
      </c>
      <c r="H40" s="9" t="s">
        <v>123</v>
      </c>
      <c r="I40" s="10" t="n">
        <v>860</v>
      </c>
    </row>
    <row r="41" customFormat="false" ht="32.8" hidden="false" customHeight="false" outlineLevel="0" collapsed="false">
      <c r="A41" s="5" t="n">
        <v>44281.6498939579</v>
      </c>
      <c r="B41" s="6" t="str">
        <f aca="false">HYPERLINK("https://my.zakupki.prom.ua/remote/dispatcher/state_purchase_view/25269155", "UA-2021-03-26-012354-c")</f>
        <v>UA-2021-03-26-012354-c</v>
      </c>
      <c r="C41" s="7" t="s">
        <v>106</v>
      </c>
      <c r="D41" s="7" t="s">
        <v>124</v>
      </c>
      <c r="E41" s="7" t="s">
        <v>12</v>
      </c>
      <c r="F41" s="8" t="s">
        <v>13</v>
      </c>
      <c r="G41" s="7" t="s">
        <v>23</v>
      </c>
      <c r="H41" s="9" t="s">
        <v>24</v>
      </c>
      <c r="I41" s="10" t="n">
        <v>910</v>
      </c>
    </row>
    <row r="42" customFormat="false" ht="32.8" hidden="false" customHeight="false" outlineLevel="0" collapsed="false">
      <c r="A42" s="5" t="n">
        <v>44284.3782317333</v>
      </c>
      <c r="B42" s="6" t="str">
        <f aca="false">HYPERLINK("https://my.zakupki.prom.ua/remote/dispatcher/state_purchase_view/25328095", "UA-2021-03-29-000426-a")</f>
        <v>UA-2021-03-29-000426-a</v>
      </c>
      <c r="C42" s="7" t="s">
        <v>93</v>
      </c>
      <c r="D42" s="7" t="s">
        <v>125</v>
      </c>
      <c r="E42" s="7" t="s">
        <v>12</v>
      </c>
      <c r="F42" s="8" t="s">
        <v>13</v>
      </c>
      <c r="G42" s="7" t="s">
        <v>95</v>
      </c>
      <c r="H42" s="9" t="s">
        <v>96</v>
      </c>
      <c r="I42" s="10" t="n">
        <v>155</v>
      </c>
    </row>
    <row r="43" customFormat="false" ht="32.8" hidden="false" customHeight="false" outlineLevel="0" collapsed="false">
      <c r="A43" s="5" t="n">
        <v>44281.6804620227</v>
      </c>
      <c r="B43" s="6" t="str">
        <f aca="false">HYPERLINK("https://my.zakupki.prom.ua/remote/dispatcher/state_purchase_view/25271511", "UA-2021-03-26-013694-c")</f>
        <v>UA-2021-03-26-013694-c</v>
      </c>
      <c r="C43" s="7" t="s">
        <v>126</v>
      </c>
      <c r="D43" s="7" t="s">
        <v>127</v>
      </c>
      <c r="E43" s="7" t="s">
        <v>12</v>
      </c>
      <c r="F43" s="8" t="s">
        <v>13</v>
      </c>
      <c r="G43" s="7" t="s">
        <v>99</v>
      </c>
      <c r="H43" s="9" t="s">
        <v>100</v>
      </c>
      <c r="I43" s="10" t="n">
        <v>28</v>
      </c>
    </row>
    <row r="44" customFormat="false" ht="32.8" hidden="false" customHeight="false" outlineLevel="0" collapsed="false">
      <c r="A44" s="5" t="n">
        <v>44251.717101391</v>
      </c>
      <c r="B44" s="6" t="str">
        <f aca="false">HYPERLINK("https://my.zakupki.prom.ua/remote/dispatcher/state_purchase_view/24369719", "UA-2021-02-24-013728-b")</f>
        <v>UA-2021-02-24-013728-b</v>
      </c>
      <c r="C44" s="7" t="s">
        <v>25</v>
      </c>
      <c r="D44" s="7" t="s">
        <v>128</v>
      </c>
      <c r="E44" s="7" t="s">
        <v>12</v>
      </c>
      <c r="F44" s="8" t="s">
        <v>13</v>
      </c>
      <c r="G44" s="7" t="s">
        <v>27</v>
      </c>
      <c r="H44" s="9" t="s">
        <v>28</v>
      </c>
      <c r="I44" s="10" t="n">
        <v>316</v>
      </c>
    </row>
    <row r="45" customFormat="false" ht="32.8" hidden="false" customHeight="false" outlineLevel="0" collapsed="false">
      <c r="A45" s="5" t="n">
        <v>44216.7178747827</v>
      </c>
      <c r="B45" s="6" t="str">
        <f aca="false">HYPERLINK("https://my.zakupki.prom.ua/remote/dispatcher/state_purchase_view/23103435", "UA-2021-01-20-007411-b")</f>
        <v>UA-2021-01-20-007411-b</v>
      </c>
      <c r="C45" s="7" t="s">
        <v>129</v>
      </c>
      <c r="D45" s="7" t="s">
        <v>130</v>
      </c>
      <c r="E45" s="7" t="s">
        <v>12</v>
      </c>
      <c r="F45" s="8" t="s">
        <v>13</v>
      </c>
      <c r="G45" s="7" t="s">
        <v>131</v>
      </c>
      <c r="H45" s="9" t="s">
        <v>132</v>
      </c>
      <c r="I45" s="10" t="n">
        <v>5675.1</v>
      </c>
    </row>
    <row r="46" customFormat="false" ht="32.8" hidden="false" customHeight="false" outlineLevel="0" collapsed="false">
      <c r="A46" s="5" t="n">
        <v>44250.6479027611</v>
      </c>
      <c r="B46" s="6" t="str">
        <f aca="false">HYPERLINK("https://my.zakupki.prom.ua/remote/dispatcher/state_purchase_view/24314544", "UA-2021-02-23-011310-b")</f>
        <v>UA-2021-02-23-011310-b</v>
      </c>
      <c r="C46" s="7" t="s">
        <v>25</v>
      </c>
      <c r="D46" s="7" t="s">
        <v>133</v>
      </c>
      <c r="E46" s="7" t="s">
        <v>12</v>
      </c>
      <c r="F46" s="8" t="s">
        <v>13</v>
      </c>
      <c r="G46" s="7" t="s">
        <v>134</v>
      </c>
      <c r="H46" s="9" t="s">
        <v>28</v>
      </c>
      <c r="I46" s="10" t="n">
        <v>31.8</v>
      </c>
    </row>
    <row r="47" customFormat="false" ht="32.8" hidden="false" customHeight="false" outlineLevel="0" collapsed="false">
      <c r="A47" s="5" t="n">
        <v>44257.3866332468</v>
      </c>
      <c r="B47" s="6" t="str">
        <f aca="false">HYPERLINK("https://my.zakupki.prom.ua/remote/dispatcher/state_purchase_view/24504665", "UA-2021-03-02-000807-a")</f>
        <v>UA-2021-03-02-000807-a</v>
      </c>
      <c r="C47" s="7" t="s">
        <v>135</v>
      </c>
      <c r="D47" s="7" t="s">
        <v>136</v>
      </c>
      <c r="E47" s="7" t="s">
        <v>12</v>
      </c>
      <c r="F47" s="8" t="s">
        <v>13</v>
      </c>
      <c r="G47" s="7" t="s">
        <v>137</v>
      </c>
      <c r="H47" s="9" t="s">
        <v>138</v>
      </c>
      <c r="I47" s="10" t="n">
        <v>7614.36</v>
      </c>
    </row>
    <row r="48" customFormat="false" ht="43.1" hidden="false" customHeight="false" outlineLevel="0" collapsed="false">
      <c r="A48" s="5" t="n">
        <v>44281.5955109921</v>
      </c>
      <c r="B48" s="6" t="str">
        <f aca="false">HYPERLINK("https://my.zakupki.prom.ua/remote/dispatcher/state_purchase_view/25263430", "UA-2021-03-26-003721-a")</f>
        <v>UA-2021-03-26-003721-a</v>
      </c>
      <c r="C48" s="7" t="s">
        <v>139</v>
      </c>
      <c r="D48" s="7" t="s">
        <v>140</v>
      </c>
      <c r="E48" s="7" t="s">
        <v>12</v>
      </c>
      <c r="F48" s="8" t="s">
        <v>13</v>
      </c>
      <c r="G48" s="7" t="s">
        <v>23</v>
      </c>
      <c r="H48" s="9" t="s">
        <v>24</v>
      </c>
      <c r="I48" s="10" t="n">
        <v>5950</v>
      </c>
    </row>
    <row r="49" customFormat="false" ht="53.4" hidden="false" customHeight="false" outlineLevel="0" collapsed="false">
      <c r="A49" s="5" t="n">
        <v>44281.6381873713</v>
      </c>
      <c r="B49" s="6" t="str">
        <f aca="false">HYPERLINK("https://my.zakupki.prom.ua/remote/dispatcher/state_purchase_view/25266127", "UA-2021-03-26-011462-c")</f>
        <v>UA-2021-03-26-011462-c</v>
      </c>
      <c r="C49" s="7" t="s">
        <v>141</v>
      </c>
      <c r="D49" s="7" t="s">
        <v>142</v>
      </c>
      <c r="E49" s="7" t="s">
        <v>12</v>
      </c>
      <c r="F49" s="8" t="s">
        <v>13</v>
      </c>
      <c r="G49" s="7" t="s">
        <v>23</v>
      </c>
      <c r="H49" s="9" t="s">
        <v>24</v>
      </c>
      <c r="I49" s="10" t="n">
        <v>1660</v>
      </c>
    </row>
    <row r="50" customFormat="false" ht="63.75" hidden="false" customHeight="false" outlineLevel="0" collapsed="false">
      <c r="A50" s="5" t="n">
        <v>44266.7229275393</v>
      </c>
      <c r="B50" s="6" t="str">
        <f aca="false">HYPERLINK("https://my.zakupki.prom.ua/remote/dispatcher/state_purchase_view/24811060", "UA-2021-03-11-012254-b")</f>
        <v>UA-2021-03-11-012254-b</v>
      </c>
      <c r="C50" s="7" t="s">
        <v>143</v>
      </c>
      <c r="D50" s="7" t="s">
        <v>90</v>
      </c>
      <c r="E50" s="7" t="s">
        <v>12</v>
      </c>
      <c r="F50" s="8" t="s">
        <v>13</v>
      </c>
      <c r="G50" s="7" t="s">
        <v>91</v>
      </c>
      <c r="H50" s="9" t="s">
        <v>92</v>
      </c>
      <c r="I50" s="10" t="n">
        <v>1490.22</v>
      </c>
    </row>
    <row r="51" customFormat="false" ht="32.8" hidden="false" customHeight="false" outlineLevel="0" collapsed="false">
      <c r="A51" s="5" t="n">
        <v>44250.4718023436</v>
      </c>
      <c r="B51" s="6" t="str">
        <f aca="false">HYPERLINK("https://my.zakupki.prom.ua/remote/dispatcher/state_purchase_view/23473200", "UA-2021-02-01-002261-a")</f>
        <v>UA-2021-02-01-002261-a</v>
      </c>
      <c r="C51" s="7" t="s">
        <v>144</v>
      </c>
      <c r="D51" s="7" t="s">
        <v>145</v>
      </c>
      <c r="E51" s="7" t="s">
        <v>12</v>
      </c>
      <c r="F51" s="8" t="s">
        <v>13</v>
      </c>
      <c r="G51" s="7" t="s">
        <v>146</v>
      </c>
      <c r="H51" s="9" t="s">
        <v>147</v>
      </c>
      <c r="I51" s="10" t="n">
        <v>13560</v>
      </c>
    </row>
    <row r="52" customFormat="false" ht="32.8" hidden="false" customHeight="false" outlineLevel="0" collapsed="false">
      <c r="A52" s="5" t="n">
        <v>44251.711035886</v>
      </c>
      <c r="B52" s="6" t="str">
        <f aca="false">HYPERLINK("https://my.zakupki.prom.ua/remote/dispatcher/state_purchase_view/24369261", "UA-2021-02-24-013594-b")</f>
        <v>UA-2021-02-24-013594-b</v>
      </c>
      <c r="C52" s="7" t="s">
        <v>25</v>
      </c>
      <c r="D52" s="7" t="s">
        <v>148</v>
      </c>
      <c r="E52" s="7" t="s">
        <v>12</v>
      </c>
      <c r="F52" s="8" t="s">
        <v>13</v>
      </c>
      <c r="G52" s="7" t="s">
        <v>27</v>
      </c>
      <c r="H52" s="9" t="s">
        <v>28</v>
      </c>
      <c r="I52" s="10" t="n">
        <v>387.22</v>
      </c>
    </row>
    <row r="53" customFormat="false" ht="32.8" hidden="false" customHeight="false" outlineLevel="0" collapsed="false">
      <c r="A53" s="5" t="n">
        <v>44243.6879035084</v>
      </c>
      <c r="B53" s="6" t="str">
        <f aca="false">HYPERLINK("https://my.zakupki.prom.ua/remote/dispatcher/state_purchase_view/24073451", "UA-2021-02-16-013436-a")</f>
        <v>UA-2021-02-16-013436-a</v>
      </c>
      <c r="C53" s="7" t="s">
        <v>149</v>
      </c>
      <c r="D53" s="7" t="s">
        <v>125</v>
      </c>
      <c r="E53" s="7" t="s">
        <v>12</v>
      </c>
      <c r="F53" s="8" t="s">
        <v>13</v>
      </c>
      <c r="G53" s="7" t="s">
        <v>150</v>
      </c>
      <c r="H53" s="9" t="s">
        <v>151</v>
      </c>
      <c r="I53" s="10" t="n">
        <v>585</v>
      </c>
    </row>
    <row r="54" customFormat="false" ht="32.8" hidden="false" customHeight="false" outlineLevel="0" collapsed="false">
      <c r="A54" s="5" t="n">
        <v>44271.4037402609</v>
      </c>
      <c r="B54" s="6" t="str">
        <f aca="false">HYPERLINK("https://my.zakupki.prom.ua/remote/dispatcher/state_purchase_view/24884912", "UA-2021-03-15-005607-b")</f>
        <v>UA-2021-03-15-005607-b</v>
      </c>
      <c r="C54" s="7" t="s">
        <v>152</v>
      </c>
      <c r="D54" s="7" t="s">
        <v>16</v>
      </c>
      <c r="E54" s="7" t="s">
        <v>12</v>
      </c>
      <c r="F54" s="8" t="s">
        <v>13</v>
      </c>
      <c r="G54" s="7" t="s">
        <v>14</v>
      </c>
      <c r="H54" s="9" t="s">
        <v>15</v>
      </c>
      <c r="I54" s="10" t="n">
        <v>6000</v>
      </c>
    </row>
    <row r="55" customFormat="false" ht="32.8" hidden="false" customHeight="false" outlineLevel="0" collapsed="false">
      <c r="A55" s="5" t="n">
        <v>44215.6494117035</v>
      </c>
      <c r="B55" s="6" t="str">
        <f aca="false">HYPERLINK("https://my.zakupki.prom.ua/remote/dispatcher/state_purchase_view/23057886", "UA-2021-01-19-004117-a")</f>
        <v>UA-2021-01-19-004117-a</v>
      </c>
      <c r="C55" s="7" t="s">
        <v>85</v>
      </c>
      <c r="D55" s="7" t="s">
        <v>153</v>
      </c>
      <c r="E55" s="7" t="s">
        <v>12</v>
      </c>
      <c r="F55" s="8" t="s">
        <v>13</v>
      </c>
      <c r="G55" s="7" t="s">
        <v>23</v>
      </c>
      <c r="H55" s="9" t="s">
        <v>24</v>
      </c>
      <c r="I55" s="10" t="n">
        <v>46400</v>
      </c>
    </row>
    <row r="56" customFormat="false" ht="32.8" hidden="false" customHeight="false" outlineLevel="0" collapsed="false">
      <c r="A56" s="5" t="n">
        <v>44236.6822624216</v>
      </c>
      <c r="B56" s="6" t="str">
        <f aca="false">HYPERLINK("https://my.zakupki.prom.ua/remote/dispatcher/state_purchase_view/23824650", "UA-2021-02-09-009845-a")</f>
        <v>UA-2021-02-09-009845-a</v>
      </c>
      <c r="C56" s="7" t="s">
        <v>154</v>
      </c>
      <c r="D56" s="7" t="s">
        <v>155</v>
      </c>
      <c r="E56" s="7" t="s">
        <v>12</v>
      </c>
      <c r="F56" s="8" t="s">
        <v>13</v>
      </c>
      <c r="G56" s="7" t="s">
        <v>156</v>
      </c>
      <c r="H56" s="9" t="s">
        <v>157</v>
      </c>
      <c r="I56" s="10" t="n">
        <v>26000</v>
      </c>
    </row>
    <row r="57" customFormat="false" ht="32.8" hidden="false" customHeight="false" outlineLevel="0" collapsed="false">
      <c r="A57" s="5" t="n">
        <v>44272.4887805071</v>
      </c>
      <c r="B57" s="6" t="str">
        <f aca="false">HYPERLINK("https://my.zakupki.prom.ua/remote/dispatcher/state_purchase_view/24976018", "UA-2021-03-17-005503-c")</f>
        <v>UA-2021-03-17-005503-c</v>
      </c>
      <c r="C57" s="7" t="s">
        <v>158</v>
      </c>
      <c r="D57" s="7" t="s">
        <v>159</v>
      </c>
      <c r="E57" s="7" t="s">
        <v>12</v>
      </c>
      <c r="F57" s="8" t="s">
        <v>13</v>
      </c>
      <c r="G57" s="7" t="s">
        <v>160</v>
      </c>
      <c r="H57" s="9" t="s">
        <v>161</v>
      </c>
      <c r="I57" s="10" t="n">
        <v>4275</v>
      </c>
    </row>
    <row r="58" customFormat="false" ht="32.8" hidden="false" customHeight="false" outlineLevel="0" collapsed="false">
      <c r="A58" s="5" t="n">
        <v>44287.3540512747</v>
      </c>
      <c r="B58" s="6" t="str">
        <f aca="false">HYPERLINK("https://my.zakupki.prom.ua/remote/dispatcher/state_purchase_view/25415551", "UA-2021-03-31-004324-a")</f>
        <v>UA-2021-03-31-004324-a</v>
      </c>
      <c r="C58" s="7" t="s">
        <v>162</v>
      </c>
      <c r="D58" s="7" t="s">
        <v>34</v>
      </c>
      <c r="E58" s="7" t="s">
        <v>12</v>
      </c>
      <c r="F58" s="8" t="s">
        <v>13</v>
      </c>
      <c r="G58" s="7" t="s">
        <v>163</v>
      </c>
      <c r="H58" s="9" t="s">
        <v>164</v>
      </c>
      <c r="I58" s="10" t="n">
        <v>4000</v>
      </c>
    </row>
    <row r="59" customFormat="false" ht="32.8" hidden="false" customHeight="false" outlineLevel="0" collapsed="false">
      <c r="A59" s="5" t="n">
        <v>44281.6672544139</v>
      </c>
      <c r="B59" s="6" t="str">
        <f aca="false">HYPERLINK("https://my.zakupki.prom.ua/remote/dispatcher/state_purchase_view/25270808", "UA-2021-03-26-013197-c")</f>
        <v>UA-2021-03-26-013197-c</v>
      </c>
      <c r="C59" s="7" t="s">
        <v>97</v>
      </c>
      <c r="D59" s="7" t="s">
        <v>165</v>
      </c>
      <c r="E59" s="7" t="s">
        <v>12</v>
      </c>
      <c r="F59" s="8" t="s">
        <v>13</v>
      </c>
      <c r="G59" s="7" t="s">
        <v>99</v>
      </c>
      <c r="H59" s="9" t="s">
        <v>100</v>
      </c>
      <c r="I59" s="10" t="n">
        <v>723</v>
      </c>
    </row>
    <row r="60" customFormat="false" ht="32.8" hidden="false" customHeight="false" outlineLevel="0" collapsed="false">
      <c r="A60" s="5" t="n">
        <v>44229.6966792984</v>
      </c>
      <c r="B60" s="6" t="str">
        <f aca="false">HYPERLINK("https://my.zakupki.prom.ua/remote/dispatcher/state_purchase_view/23546721", "UA-2021-02-02-010246-a")</f>
        <v>UA-2021-02-02-010246-a</v>
      </c>
      <c r="C60" s="7" t="s">
        <v>166</v>
      </c>
      <c r="D60" s="7" t="s">
        <v>167</v>
      </c>
      <c r="E60" s="7" t="s">
        <v>12</v>
      </c>
      <c r="F60" s="8" t="s">
        <v>13</v>
      </c>
      <c r="G60" s="7"/>
      <c r="H60" s="9"/>
      <c r="I60" s="9"/>
    </row>
    <row r="61" customFormat="false" ht="32.8" hidden="false" customHeight="false" outlineLevel="0" collapsed="false">
      <c r="A61" s="5" t="n">
        <v>44201.706650727</v>
      </c>
      <c r="B61" s="6" t="str">
        <f aca="false">HYPERLINK("https://my.zakupki.prom.ua/remote/dispatcher/state_purchase_view/22859996", "UA-2021-01-05-000831-c")</f>
        <v>UA-2021-01-05-000831-c</v>
      </c>
      <c r="C61" s="7" t="s">
        <v>168</v>
      </c>
      <c r="D61" s="7" t="s">
        <v>169</v>
      </c>
      <c r="E61" s="7" t="s">
        <v>12</v>
      </c>
      <c r="F61" s="8" t="s">
        <v>13</v>
      </c>
      <c r="G61" s="7" t="s">
        <v>43</v>
      </c>
      <c r="H61" s="9" t="s">
        <v>44</v>
      </c>
      <c r="I61" s="10" t="n">
        <v>2003.83</v>
      </c>
    </row>
    <row r="62" customFormat="false" ht="32.8" hidden="false" customHeight="false" outlineLevel="0" collapsed="false">
      <c r="A62" s="5" t="n">
        <v>44250.6523201179</v>
      </c>
      <c r="B62" s="6" t="str">
        <f aca="false">HYPERLINK("https://my.zakupki.prom.ua/remote/dispatcher/state_purchase_view/24315484", "UA-2021-02-23-011593-b")</f>
        <v>UA-2021-02-23-011593-b</v>
      </c>
      <c r="C62" s="7" t="s">
        <v>25</v>
      </c>
      <c r="D62" s="7" t="s">
        <v>130</v>
      </c>
      <c r="E62" s="7" t="s">
        <v>12</v>
      </c>
      <c r="F62" s="8" t="s">
        <v>13</v>
      </c>
      <c r="G62" s="7" t="s">
        <v>134</v>
      </c>
      <c r="H62" s="9" t="s">
        <v>28</v>
      </c>
      <c r="I62" s="10" t="n">
        <v>18</v>
      </c>
    </row>
    <row r="63" customFormat="false" ht="74.05" hidden="false" customHeight="false" outlineLevel="0" collapsed="false">
      <c r="A63" s="5" t="n">
        <v>44264.5735156559</v>
      </c>
      <c r="B63" s="6" t="str">
        <f aca="false">HYPERLINK("https://my.zakupki.prom.ua/remote/dispatcher/state_purchase_view/24702148", "UA-2021-03-09-006904-c")</f>
        <v>UA-2021-03-09-006904-c</v>
      </c>
      <c r="C63" s="7" t="s">
        <v>170</v>
      </c>
      <c r="D63" s="7" t="s">
        <v>171</v>
      </c>
      <c r="E63" s="7" t="s">
        <v>12</v>
      </c>
      <c r="F63" s="8" t="s">
        <v>13</v>
      </c>
      <c r="G63" s="7" t="s">
        <v>172</v>
      </c>
      <c r="H63" s="9" t="s">
        <v>173</v>
      </c>
      <c r="I63" s="10" t="n">
        <v>2200</v>
      </c>
    </row>
    <row r="64" customFormat="false" ht="32.8" hidden="false" customHeight="false" outlineLevel="0" collapsed="false">
      <c r="A64" s="5" t="n">
        <v>44274.6689760333</v>
      </c>
      <c r="B64" s="6" t="str">
        <f aca="false">HYPERLINK("https://my.zakupki.prom.ua/remote/dispatcher/state_purchase_view/25083316", "UA-2021-03-19-003729-a")</f>
        <v>UA-2021-03-19-003729-a</v>
      </c>
      <c r="C64" s="7" t="s">
        <v>174</v>
      </c>
      <c r="D64" s="7" t="s">
        <v>175</v>
      </c>
      <c r="E64" s="7" t="s">
        <v>12</v>
      </c>
      <c r="F64" s="8" t="s">
        <v>13</v>
      </c>
      <c r="G64" s="7" t="s">
        <v>176</v>
      </c>
      <c r="H64" s="9" t="s">
        <v>177</v>
      </c>
      <c r="I64" s="10" t="n">
        <v>21977.22</v>
      </c>
    </row>
    <row r="65" customFormat="false" ht="32.8" hidden="false" customHeight="false" outlineLevel="0" collapsed="false">
      <c r="A65" s="5" t="n">
        <v>44281.6702886925</v>
      </c>
      <c r="B65" s="6" t="str">
        <f aca="false">HYPERLINK("https://my.zakupki.prom.ua/remote/dispatcher/state_purchase_view/25270951", "UA-2021-03-26-013339-c")</f>
        <v>UA-2021-03-26-013339-c</v>
      </c>
      <c r="C65" s="7" t="s">
        <v>97</v>
      </c>
      <c r="D65" s="7" t="s">
        <v>178</v>
      </c>
      <c r="E65" s="7" t="s">
        <v>12</v>
      </c>
      <c r="F65" s="8" t="s">
        <v>13</v>
      </c>
      <c r="G65" s="7" t="s">
        <v>99</v>
      </c>
      <c r="H65" s="9" t="s">
        <v>100</v>
      </c>
      <c r="I65" s="10" t="n">
        <v>159</v>
      </c>
    </row>
    <row r="66" customFormat="false" ht="53.4" hidden="false" customHeight="false" outlineLevel="0" collapsed="false">
      <c r="A66" s="5" t="n">
        <v>44222.7134275101</v>
      </c>
      <c r="B66" s="6" t="str">
        <f aca="false">HYPERLINK("https://my.zakupki.prom.ua/remote/dispatcher/state_purchase_view/23292077", "UA-2021-01-26-010901-b")</f>
        <v>UA-2021-01-26-010901-b</v>
      </c>
      <c r="C66" s="7" t="s">
        <v>179</v>
      </c>
      <c r="D66" s="7" t="s">
        <v>180</v>
      </c>
      <c r="E66" s="7" t="s">
        <v>12</v>
      </c>
      <c r="F66" s="8" t="s">
        <v>13</v>
      </c>
      <c r="G66" s="7" t="s">
        <v>115</v>
      </c>
      <c r="H66" s="9" t="s">
        <v>116</v>
      </c>
      <c r="I66" s="10" t="n">
        <v>12945.63</v>
      </c>
    </row>
    <row r="67" customFormat="false" ht="53.4" hidden="false" customHeight="false" outlineLevel="0" collapsed="false">
      <c r="A67" s="5" t="n">
        <v>44222.7213624807</v>
      </c>
      <c r="B67" s="6" t="str">
        <f aca="false">HYPERLINK("https://my.zakupki.prom.ua/remote/dispatcher/state_purchase_view/23294203", "UA-2021-01-26-011471-b")</f>
        <v>UA-2021-01-26-011471-b</v>
      </c>
      <c r="C67" s="7" t="s">
        <v>181</v>
      </c>
      <c r="D67" s="7" t="s">
        <v>182</v>
      </c>
      <c r="E67" s="7" t="s">
        <v>12</v>
      </c>
      <c r="F67" s="8" t="s">
        <v>13</v>
      </c>
      <c r="G67" s="7" t="s">
        <v>183</v>
      </c>
      <c r="H67" s="9" t="s">
        <v>184</v>
      </c>
      <c r="I67" s="10" t="n">
        <v>4480</v>
      </c>
    </row>
    <row r="68" customFormat="false" ht="53.4" hidden="false" customHeight="false" outlineLevel="0" collapsed="false">
      <c r="A68" s="5" t="n">
        <v>44212.4172339116</v>
      </c>
      <c r="B68" s="6" t="str">
        <f aca="false">HYPERLINK("https://my.zakupki.prom.ua/remote/dispatcher/state_purchase_view/22993763", "UA-2021-01-16-000380-a")</f>
        <v>UA-2021-01-16-000380-a</v>
      </c>
      <c r="C68" s="7" t="s">
        <v>185</v>
      </c>
      <c r="D68" s="7" t="s">
        <v>186</v>
      </c>
      <c r="E68" s="7" t="s">
        <v>12</v>
      </c>
      <c r="F68" s="8" t="s">
        <v>13</v>
      </c>
      <c r="G68" s="7" t="s">
        <v>187</v>
      </c>
      <c r="H68" s="9" t="s">
        <v>65</v>
      </c>
      <c r="I68" s="10" t="n">
        <v>8200</v>
      </c>
    </row>
    <row r="69" customFormat="false" ht="32.8" hidden="false" customHeight="false" outlineLevel="0" collapsed="false">
      <c r="A69" s="5" t="n">
        <v>44216.6230410907</v>
      </c>
      <c r="B69" s="6" t="str">
        <f aca="false">HYPERLINK("https://my.zakupki.prom.ua/remote/dispatcher/state_purchase_view/23092593", "UA-2021-01-20-004888-b")</f>
        <v>UA-2021-01-20-004888-b</v>
      </c>
      <c r="C69" s="7" t="s">
        <v>188</v>
      </c>
      <c r="D69" s="7" t="s">
        <v>189</v>
      </c>
      <c r="E69" s="7" t="s">
        <v>12</v>
      </c>
      <c r="F69" s="8" t="s">
        <v>13</v>
      </c>
      <c r="G69" s="7" t="s">
        <v>190</v>
      </c>
      <c r="H69" s="9" t="s">
        <v>191</v>
      </c>
      <c r="I69" s="10" t="n">
        <v>110.88</v>
      </c>
    </row>
    <row r="70" customFormat="false" ht="63.75" hidden="false" customHeight="false" outlineLevel="0" collapsed="false">
      <c r="A70" s="5" t="n">
        <v>44230.4169390611</v>
      </c>
      <c r="B70" s="6" t="str">
        <f aca="false">HYPERLINK("https://my.zakupki.prom.ua/remote/dispatcher/state_purchase_view/23577327", "UA-2021-02-03-001618-a")</f>
        <v>UA-2021-02-03-001618-a</v>
      </c>
      <c r="C70" s="7" t="s">
        <v>192</v>
      </c>
      <c r="D70" s="7" t="s">
        <v>71</v>
      </c>
      <c r="E70" s="7" t="s">
        <v>12</v>
      </c>
      <c r="F70" s="8" t="s">
        <v>13</v>
      </c>
      <c r="G70" s="7" t="s">
        <v>72</v>
      </c>
      <c r="H70" s="9" t="s">
        <v>73</v>
      </c>
      <c r="I70" s="10" t="n">
        <v>180</v>
      </c>
    </row>
    <row r="71" customFormat="false" ht="43.1" hidden="false" customHeight="false" outlineLevel="0" collapsed="false">
      <c r="A71" s="5" t="n">
        <v>44250.7178941347</v>
      </c>
      <c r="B71" s="6" t="str">
        <f aca="false">HYPERLINK("https://my.zakupki.prom.ua/remote/dispatcher/state_purchase_view/24323543", "UA-2021-02-23-014393-b")</f>
        <v>UA-2021-02-23-014393-b</v>
      </c>
      <c r="C71" s="7" t="s">
        <v>25</v>
      </c>
      <c r="D71" s="7" t="s">
        <v>193</v>
      </c>
      <c r="E71" s="7" t="s">
        <v>12</v>
      </c>
      <c r="F71" s="8" t="s">
        <v>13</v>
      </c>
      <c r="G71" s="7" t="s">
        <v>27</v>
      </c>
      <c r="H71" s="9" t="s">
        <v>28</v>
      </c>
      <c r="I71" s="10" t="n">
        <v>18</v>
      </c>
    </row>
    <row r="72" customFormat="false" ht="32.8" hidden="false" customHeight="false" outlineLevel="0" collapsed="false">
      <c r="A72" s="5" t="n">
        <v>44251.7174658423</v>
      </c>
      <c r="B72" s="6" t="str">
        <f aca="false">HYPERLINK("https://my.zakupki.prom.ua/remote/dispatcher/state_purchase_view/24369793", "UA-2021-02-24-013780-b")</f>
        <v>UA-2021-02-24-013780-b</v>
      </c>
      <c r="C72" s="7" t="s">
        <v>25</v>
      </c>
      <c r="D72" s="7" t="s">
        <v>194</v>
      </c>
      <c r="E72" s="7" t="s">
        <v>12</v>
      </c>
      <c r="F72" s="8" t="s">
        <v>13</v>
      </c>
      <c r="G72" s="7" t="s">
        <v>27</v>
      </c>
      <c r="H72" s="9" t="s">
        <v>28</v>
      </c>
      <c r="I72" s="10" t="n">
        <v>60</v>
      </c>
    </row>
    <row r="73" customFormat="false" ht="32.8" hidden="false" customHeight="false" outlineLevel="0" collapsed="false">
      <c r="A73" s="5" t="n">
        <v>44251.7038346822</v>
      </c>
      <c r="B73" s="6" t="str">
        <f aca="false">HYPERLINK("https://my.zakupki.prom.ua/remote/dispatcher/state_purchase_view/24368683", "UA-2021-02-24-013415-b")</f>
        <v>UA-2021-02-24-013415-b</v>
      </c>
      <c r="C73" s="7" t="s">
        <v>25</v>
      </c>
      <c r="D73" s="7" t="s">
        <v>195</v>
      </c>
      <c r="E73" s="7" t="s">
        <v>12</v>
      </c>
      <c r="F73" s="8" t="s">
        <v>13</v>
      </c>
      <c r="G73" s="7" t="s">
        <v>27</v>
      </c>
      <c r="H73" s="9" t="s">
        <v>28</v>
      </c>
      <c r="I73" s="10" t="n">
        <v>9</v>
      </c>
    </row>
    <row r="74" customFormat="false" ht="32.8" hidden="false" customHeight="false" outlineLevel="0" collapsed="false">
      <c r="A74" s="5" t="n">
        <v>44270.4931859236</v>
      </c>
      <c r="B74" s="6" t="str">
        <f aca="false">HYPERLINK("https://my.zakupki.prom.ua/remote/dispatcher/state_purchase_view/24880051", "UA-2021-03-15-004271-b")</f>
        <v>UA-2021-03-15-004271-b</v>
      </c>
      <c r="C74" s="7" t="s">
        <v>66</v>
      </c>
      <c r="D74" s="7" t="s">
        <v>67</v>
      </c>
      <c r="E74" s="7" t="s">
        <v>12</v>
      </c>
      <c r="F74" s="8" t="s">
        <v>13</v>
      </c>
      <c r="G74" s="7" t="s">
        <v>68</v>
      </c>
      <c r="H74" s="9" t="s">
        <v>69</v>
      </c>
      <c r="I74" s="10" t="n">
        <v>980</v>
      </c>
    </row>
    <row r="75" customFormat="false" ht="34.65" hidden="false" customHeight="true" outlineLevel="0" collapsed="false">
      <c r="A75" s="5" t="n">
        <v>44281.6799954871</v>
      </c>
      <c r="B75" s="6" t="str">
        <f aca="false">HYPERLINK("https://my.zakupki.prom.ua/remote/dispatcher/state_purchase_view/25271283", "UA-2021-03-26-013575-c")</f>
        <v>UA-2021-03-26-013575-c</v>
      </c>
      <c r="C75" s="7" t="s">
        <v>97</v>
      </c>
      <c r="D75" s="7" t="s">
        <v>196</v>
      </c>
      <c r="E75" s="7" t="s">
        <v>12</v>
      </c>
      <c r="F75" s="8" t="s">
        <v>13</v>
      </c>
      <c r="G75" s="7" t="s">
        <v>99</v>
      </c>
      <c r="H75" s="9" t="s">
        <v>100</v>
      </c>
      <c r="I75" s="10" t="n">
        <v>302</v>
      </c>
    </row>
    <row r="76" customFormat="false" ht="19.65" hidden="false" customHeight="true" outlineLevel="0" collapsed="false"/>
  </sheetData>
  <autoFilter ref="A3:I404"/>
  <mergeCells count="2">
    <mergeCell ref="A1:I1"/>
    <mergeCell ref="A2:I2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6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false" showOutlineSymbols="true" defaultGridColor="true" view="normal" topLeftCell="A28" colorId="64" zoomScale="100" zoomScaleNormal="100" zoomScalePageLayoutView="100" workbookViewId="0">
      <selection pane="topLeft" activeCell="A2" activeCellId="0" sqref="A2"/>
    </sheetView>
  </sheetViews>
  <sheetFormatPr defaultRowHeight="12.75" zeroHeight="false" outlineLevelRow="0" outlineLevelCol="0"/>
  <cols>
    <col collapsed="false" customWidth="true" hidden="false" outlineLevel="0" max="1" min="1" style="0" width="12.5"/>
    <col collapsed="false" customWidth="true" hidden="false" outlineLevel="0" max="2" min="2" style="0" width="23.88"/>
    <col collapsed="false" customWidth="true" hidden="false" outlineLevel="0" max="3" min="3" style="0" width="31.69"/>
    <col collapsed="false" customWidth="true" hidden="false" outlineLevel="0" max="4" min="4" style="0" width="27"/>
    <col collapsed="false" customWidth="true" hidden="false" outlineLevel="0" max="5" min="5" style="0" width="17.13"/>
    <col collapsed="false" customWidth="true" hidden="false" outlineLevel="0" max="6" min="6" style="0" width="14.57"/>
    <col collapsed="false" customWidth="true" hidden="false" outlineLevel="0" max="7" min="7" style="0" width="30.86"/>
    <col collapsed="false" customWidth="true" hidden="false" outlineLevel="0" max="8" min="8" style="0" width="18.71"/>
    <col collapsed="false" customWidth="true" hidden="false" outlineLevel="0" max="9" min="9" style="0" width="12.71"/>
    <col collapsed="false" customWidth="true" hidden="false" outlineLevel="0" max="1025" min="10" style="0" width="8.67"/>
  </cols>
  <sheetData>
    <row r="1" customFormat="false" ht="33.75" hidden="false" customHeight="true" outlineLevel="0" collapsed="false">
      <c r="A1" s="1"/>
      <c r="B1" s="1"/>
      <c r="C1" s="1"/>
      <c r="D1" s="1"/>
      <c r="E1" s="1"/>
      <c r="F1" s="1"/>
      <c r="G1" s="1"/>
      <c r="H1" s="1"/>
      <c r="I1" s="1"/>
    </row>
    <row r="2" customFormat="false" ht="30" hidden="false" customHeight="true" outlineLevel="0" collapsed="false">
      <c r="A2" s="3" t="s">
        <v>197</v>
      </c>
      <c r="B2" s="3"/>
      <c r="C2" s="3"/>
      <c r="D2" s="3"/>
      <c r="E2" s="3"/>
      <c r="F2" s="3"/>
      <c r="G2" s="3"/>
      <c r="H2" s="3"/>
      <c r="I2" s="3"/>
    </row>
    <row r="3" customFormat="false" ht="24.35" hidden="false" customHeight="true" outlineLevel="0" collapsed="false">
      <c r="A3" s="1"/>
      <c r="B3" s="1"/>
      <c r="C3" s="1"/>
      <c r="D3" s="1"/>
      <c r="E3" s="1"/>
      <c r="F3" s="1"/>
      <c r="G3" s="1"/>
      <c r="H3" s="1"/>
      <c r="I3" s="1"/>
    </row>
    <row r="4" customFormat="false" ht="56.25" hidden="false" customHeight="true" outlineLevel="0" collapsed="false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</row>
    <row r="5" customFormat="false" ht="53.4" hidden="false" customHeight="false" outlineLevel="0" collapsed="false">
      <c r="A5" s="11" t="n">
        <v>44305</v>
      </c>
      <c r="B5" s="12" t="str">
        <f aca="false">HYPERLINK("https://my.zakupki.prom.ua/remote/dispatcher/state_purchase_view/25954569", "UA-2021-04-19-006651-a")</f>
        <v>UA-2021-04-19-006651-a</v>
      </c>
      <c r="C5" s="13" t="s">
        <v>25</v>
      </c>
      <c r="D5" s="13" t="s">
        <v>198</v>
      </c>
      <c r="E5" s="13" t="s">
        <v>12</v>
      </c>
      <c r="F5" s="14" t="s">
        <v>13</v>
      </c>
      <c r="G5" s="13" t="s">
        <v>27</v>
      </c>
      <c r="H5" s="15" t="s">
        <v>28</v>
      </c>
      <c r="I5" s="16" t="n">
        <v>28</v>
      </c>
    </row>
    <row r="6" customFormat="false" ht="53.4" hidden="false" customHeight="false" outlineLevel="0" collapsed="false">
      <c r="A6" s="11" t="n">
        <v>44329</v>
      </c>
      <c r="B6" s="12" t="str">
        <f aca="false">HYPERLINK("https://my.zakupki.prom.ua/remote/dispatcher/state_purchase_view/26518104", "UA-2021-05-13-004227-c")</f>
        <v>UA-2021-05-13-004227-c</v>
      </c>
      <c r="C6" s="13" t="s">
        <v>199</v>
      </c>
      <c r="D6" s="13" t="s">
        <v>200</v>
      </c>
      <c r="E6" s="13" t="s">
        <v>12</v>
      </c>
      <c r="F6" s="14" t="s">
        <v>13</v>
      </c>
      <c r="G6" s="13" t="s">
        <v>201</v>
      </c>
      <c r="H6" s="15" t="s">
        <v>202</v>
      </c>
      <c r="I6" s="16" t="n">
        <v>4860</v>
      </c>
    </row>
    <row r="7" customFormat="false" ht="53.4" hidden="false" customHeight="false" outlineLevel="0" collapsed="false">
      <c r="A7" s="11" t="n">
        <v>44343</v>
      </c>
      <c r="B7" s="12" t="str">
        <f aca="false">HYPERLINK("https://my.zakupki.prom.ua/remote/dispatcher/state_purchase_view/26966988", "UA-2021-05-27-013346-b")</f>
        <v>UA-2021-05-27-013346-b</v>
      </c>
      <c r="C7" s="13" t="s">
        <v>203</v>
      </c>
      <c r="D7" s="13" t="s">
        <v>204</v>
      </c>
      <c r="E7" s="13" t="s">
        <v>12</v>
      </c>
      <c r="F7" s="14" t="s">
        <v>13</v>
      </c>
      <c r="G7" s="13" t="s">
        <v>205</v>
      </c>
      <c r="H7" s="15" t="s">
        <v>206</v>
      </c>
      <c r="I7" s="16" t="n">
        <v>20000</v>
      </c>
    </row>
    <row r="8" customFormat="false" ht="53.4" hidden="false" customHeight="false" outlineLevel="0" collapsed="false">
      <c r="A8" s="11" t="n">
        <v>44342</v>
      </c>
      <c r="B8" s="12" t="str">
        <f aca="false">HYPERLINK("https://my.zakupki.prom.ua/remote/dispatcher/state_purchase_view/26908449", "UA-2021-05-26-008163-b")</f>
        <v>UA-2021-05-26-008163-b</v>
      </c>
      <c r="C8" s="13" t="s">
        <v>126</v>
      </c>
      <c r="D8" s="13" t="s">
        <v>98</v>
      </c>
      <c r="E8" s="13" t="s">
        <v>12</v>
      </c>
      <c r="F8" s="14" t="s">
        <v>13</v>
      </c>
      <c r="G8" s="13" t="s">
        <v>207</v>
      </c>
      <c r="H8" s="15" t="s">
        <v>208</v>
      </c>
      <c r="I8" s="16" t="n">
        <v>984</v>
      </c>
    </row>
    <row r="9" customFormat="false" ht="53.4" hidden="false" customHeight="false" outlineLevel="0" collapsed="false">
      <c r="A9" s="11" t="n">
        <v>44363</v>
      </c>
      <c r="B9" s="12" t="str">
        <f aca="false">HYPERLINK("https://my.zakupki.prom.ua/remote/dispatcher/state_purchase_view/27548185", "UA-2021-06-16-013474-b")</f>
        <v>UA-2021-06-16-013474-b</v>
      </c>
      <c r="C9" s="13" t="s">
        <v>152</v>
      </c>
      <c r="D9" s="13" t="s">
        <v>16</v>
      </c>
      <c r="E9" s="13" t="s">
        <v>12</v>
      </c>
      <c r="F9" s="14" t="s">
        <v>13</v>
      </c>
      <c r="G9" s="13" t="s">
        <v>209</v>
      </c>
      <c r="H9" s="15" t="s">
        <v>15</v>
      </c>
      <c r="I9" s="16" t="n">
        <v>1200</v>
      </c>
    </row>
    <row r="10" customFormat="false" ht="53.4" hidden="false" customHeight="false" outlineLevel="0" collapsed="false">
      <c r="A10" s="11" t="n">
        <v>44342</v>
      </c>
      <c r="B10" s="12" t="str">
        <f aca="false">HYPERLINK("https://my.zakupki.prom.ua/remote/dispatcher/state_purchase_view/26915102", "UA-2021-05-26-010530-b")</f>
        <v>UA-2021-05-26-010530-b</v>
      </c>
      <c r="C10" s="13" t="s">
        <v>210</v>
      </c>
      <c r="D10" s="13" t="s">
        <v>34</v>
      </c>
      <c r="E10" s="13" t="s">
        <v>12</v>
      </c>
      <c r="F10" s="14" t="s">
        <v>13</v>
      </c>
      <c r="G10" s="13" t="s">
        <v>211</v>
      </c>
      <c r="H10" s="15" t="s">
        <v>212</v>
      </c>
      <c r="I10" s="16" t="n">
        <v>3628</v>
      </c>
    </row>
    <row r="11" customFormat="false" ht="53.4" hidden="false" customHeight="false" outlineLevel="0" collapsed="false">
      <c r="A11" s="11" t="n">
        <v>44344</v>
      </c>
      <c r="B11" s="12" t="str">
        <f aca="false">HYPERLINK("https://my.zakupki.prom.ua/remote/dispatcher/state_purchase_view/26996878", "UA-2021-05-28-009117-b")</f>
        <v>UA-2021-05-28-009117-b</v>
      </c>
      <c r="C11" s="13" t="s">
        <v>213</v>
      </c>
      <c r="D11" s="13" t="s">
        <v>214</v>
      </c>
      <c r="E11" s="13" t="s">
        <v>12</v>
      </c>
      <c r="F11" s="14" t="s">
        <v>13</v>
      </c>
      <c r="G11" s="13" t="s">
        <v>215</v>
      </c>
      <c r="H11" s="15" t="s">
        <v>216</v>
      </c>
      <c r="I11" s="16" t="n">
        <v>10888</v>
      </c>
    </row>
    <row r="12" customFormat="false" ht="53.4" hidden="false" customHeight="false" outlineLevel="0" collapsed="false">
      <c r="A12" s="11" t="n">
        <v>44342</v>
      </c>
      <c r="B12" s="12" t="str">
        <f aca="false">HYPERLINK("https://my.zakupki.prom.ua/remote/dispatcher/state_purchase_view/26888524", "UA-2021-05-26-001170-b")</f>
        <v>UA-2021-05-26-001170-b</v>
      </c>
      <c r="C12" s="13" t="s">
        <v>126</v>
      </c>
      <c r="D12" s="13" t="s">
        <v>18</v>
      </c>
      <c r="E12" s="13" t="s">
        <v>12</v>
      </c>
      <c r="F12" s="14" t="s">
        <v>13</v>
      </c>
      <c r="G12" s="13" t="s">
        <v>217</v>
      </c>
      <c r="H12" s="15" t="s">
        <v>208</v>
      </c>
      <c r="I12" s="16" t="n">
        <v>230</v>
      </c>
    </row>
    <row r="13" customFormat="false" ht="53.4" hidden="false" customHeight="false" outlineLevel="0" collapsed="false">
      <c r="A13" s="11" t="n">
        <v>44342</v>
      </c>
      <c r="B13" s="12" t="str">
        <f aca="false">HYPERLINK("https://my.zakupki.prom.ua/remote/dispatcher/state_purchase_view/26900728", "UA-2021-05-26-005450-b")</f>
        <v>UA-2021-05-26-005450-b</v>
      </c>
      <c r="C13" s="13" t="s">
        <v>126</v>
      </c>
      <c r="D13" s="13" t="s">
        <v>218</v>
      </c>
      <c r="E13" s="13" t="s">
        <v>12</v>
      </c>
      <c r="F13" s="14" t="s">
        <v>13</v>
      </c>
      <c r="G13" s="13" t="s">
        <v>217</v>
      </c>
      <c r="H13" s="15" t="s">
        <v>208</v>
      </c>
      <c r="I13" s="16" t="n">
        <v>886</v>
      </c>
    </row>
    <row r="14" customFormat="false" ht="53.4" hidden="false" customHeight="false" outlineLevel="0" collapsed="false">
      <c r="A14" s="11" t="n">
        <v>44342</v>
      </c>
      <c r="B14" s="12" t="str">
        <f aca="false">HYPERLINK("https://my.zakupki.prom.ua/remote/dispatcher/state_purchase_view/26922965", "UA-2021-05-26-013306-b")</f>
        <v>UA-2021-05-26-013306-b</v>
      </c>
      <c r="C14" s="13" t="s">
        <v>219</v>
      </c>
      <c r="D14" s="13" t="s">
        <v>220</v>
      </c>
      <c r="E14" s="13" t="s">
        <v>12</v>
      </c>
      <c r="F14" s="14" t="s">
        <v>13</v>
      </c>
      <c r="G14" s="13" t="s">
        <v>221</v>
      </c>
      <c r="H14" s="15" t="s">
        <v>222</v>
      </c>
      <c r="I14" s="16" t="n">
        <v>980</v>
      </c>
    </row>
    <row r="15" customFormat="false" ht="53.4" hidden="false" customHeight="false" outlineLevel="0" collapsed="false">
      <c r="A15" s="11" t="n">
        <v>44348</v>
      </c>
      <c r="B15" s="12" t="str">
        <f aca="false">HYPERLINK("https://my.zakupki.prom.ua/remote/dispatcher/state_purchase_view/27058396", "UA-2021-06-01-006523-b")</f>
        <v>UA-2021-06-01-006523-b</v>
      </c>
      <c r="C15" s="13" t="s">
        <v>223</v>
      </c>
      <c r="D15" s="13" t="s">
        <v>200</v>
      </c>
      <c r="E15" s="13" t="s">
        <v>12</v>
      </c>
      <c r="F15" s="14" t="s">
        <v>13</v>
      </c>
      <c r="G15" s="13" t="s">
        <v>23</v>
      </c>
      <c r="H15" s="15" t="s">
        <v>24</v>
      </c>
      <c r="I15" s="16" t="n">
        <v>7549.98</v>
      </c>
    </row>
    <row r="16" customFormat="false" ht="53.4" hidden="false" customHeight="false" outlineLevel="0" collapsed="false">
      <c r="A16" s="11" t="n">
        <v>44302</v>
      </c>
      <c r="B16" s="12" t="str">
        <f aca="false">HYPERLINK("https://my.zakupki.prom.ua/remote/dispatcher/state_purchase_view/25910638", "UA-2021-04-16-004101-a")</f>
        <v>UA-2021-04-16-004101-a</v>
      </c>
      <c r="C16" s="13" t="s">
        <v>25</v>
      </c>
      <c r="D16" s="13" t="s">
        <v>133</v>
      </c>
      <c r="E16" s="13" t="s">
        <v>12</v>
      </c>
      <c r="F16" s="14" t="s">
        <v>13</v>
      </c>
      <c r="G16" s="13" t="s">
        <v>224</v>
      </c>
      <c r="H16" s="15" t="s">
        <v>28</v>
      </c>
      <c r="I16" s="16" t="n">
        <v>640.5</v>
      </c>
    </row>
    <row r="17" customFormat="false" ht="53.4" hidden="false" customHeight="false" outlineLevel="0" collapsed="false">
      <c r="A17" s="11" t="n">
        <v>44302</v>
      </c>
      <c r="B17" s="12" t="str">
        <f aca="false">HYPERLINK("https://my.zakupki.prom.ua/remote/dispatcher/state_purchase_view/25882871", "UA-2021-04-16-000967-b")</f>
        <v>UA-2021-04-16-000967-b</v>
      </c>
      <c r="C17" s="13" t="s">
        <v>225</v>
      </c>
      <c r="D17" s="13" t="s">
        <v>226</v>
      </c>
      <c r="E17" s="13" t="s">
        <v>12</v>
      </c>
      <c r="F17" s="14" t="s">
        <v>13</v>
      </c>
      <c r="G17" s="13" t="s">
        <v>227</v>
      </c>
      <c r="H17" s="15" t="s">
        <v>228</v>
      </c>
      <c r="I17" s="16" t="n">
        <v>1900</v>
      </c>
    </row>
    <row r="18" customFormat="false" ht="53.4" hidden="false" customHeight="false" outlineLevel="0" collapsed="false">
      <c r="A18" s="11" t="n">
        <v>44351</v>
      </c>
      <c r="B18" s="12" t="str">
        <f aca="false">HYPERLINK("https://my.zakupki.prom.ua/remote/dispatcher/state_purchase_view/27171459", "UA-2021-06-04-000748-b")</f>
        <v>UA-2021-06-04-000748-b</v>
      </c>
      <c r="C18" s="13" t="s">
        <v>229</v>
      </c>
      <c r="D18" s="13" t="s">
        <v>204</v>
      </c>
      <c r="E18" s="13" t="s">
        <v>12</v>
      </c>
      <c r="F18" s="14" t="s">
        <v>13</v>
      </c>
      <c r="G18" s="13" t="s">
        <v>230</v>
      </c>
      <c r="H18" s="15" t="s">
        <v>100</v>
      </c>
      <c r="I18" s="16" t="n">
        <v>626</v>
      </c>
    </row>
    <row r="19" customFormat="false" ht="53.4" hidden="false" customHeight="false" outlineLevel="0" collapsed="false">
      <c r="A19" s="11" t="n">
        <v>44312</v>
      </c>
      <c r="B19" s="12" t="str">
        <f aca="false">HYPERLINK("https://my.zakupki.prom.ua/remote/dispatcher/state_purchase_view/26162277", "UA-2021-04-26-006668-c")</f>
        <v>UA-2021-04-26-006668-c</v>
      </c>
      <c r="C19" s="13" t="s">
        <v>192</v>
      </c>
      <c r="D19" s="13" t="s">
        <v>71</v>
      </c>
      <c r="E19" s="13" t="s">
        <v>12</v>
      </c>
      <c r="F19" s="14" t="s">
        <v>13</v>
      </c>
      <c r="G19" s="13" t="s">
        <v>72</v>
      </c>
      <c r="H19" s="15" t="s">
        <v>73</v>
      </c>
      <c r="I19" s="16" t="n">
        <v>459</v>
      </c>
    </row>
    <row r="20" customFormat="false" ht="53.4" hidden="false" customHeight="false" outlineLevel="0" collapsed="false">
      <c r="A20" s="11" t="n">
        <v>44305</v>
      </c>
      <c r="B20" s="12" t="str">
        <f aca="false">HYPERLINK("https://my.zakupki.prom.ua/remote/dispatcher/state_purchase_view/25935792", "UA-2021-04-19-003085-c")</f>
        <v>UA-2021-04-19-003085-c</v>
      </c>
      <c r="C20" s="13" t="s">
        <v>25</v>
      </c>
      <c r="D20" s="13" t="s">
        <v>125</v>
      </c>
      <c r="E20" s="13" t="s">
        <v>12</v>
      </c>
      <c r="F20" s="14" t="s">
        <v>13</v>
      </c>
      <c r="G20" s="13" t="s">
        <v>27</v>
      </c>
      <c r="H20" s="15" t="s">
        <v>28</v>
      </c>
      <c r="I20" s="16" t="n">
        <v>654.7</v>
      </c>
    </row>
    <row r="21" customFormat="false" ht="53.4" hidden="false" customHeight="false" outlineLevel="0" collapsed="false">
      <c r="A21" s="11" t="n">
        <v>44336</v>
      </c>
      <c r="B21" s="12" t="str">
        <f aca="false">HYPERLINK("https://my.zakupki.prom.ua/remote/dispatcher/state_purchase_view/26711123", "UA-2021-05-20-001826-b")</f>
        <v>UA-2021-05-20-001826-b</v>
      </c>
      <c r="C21" s="13" t="s">
        <v>231</v>
      </c>
      <c r="D21" s="13" t="s">
        <v>232</v>
      </c>
      <c r="E21" s="13" t="s">
        <v>12</v>
      </c>
      <c r="F21" s="14" t="s">
        <v>13</v>
      </c>
      <c r="G21" s="13" t="s">
        <v>233</v>
      </c>
      <c r="H21" s="15" t="s">
        <v>234</v>
      </c>
      <c r="I21" s="16" t="n">
        <v>9599</v>
      </c>
    </row>
    <row r="22" customFormat="false" ht="53.4" hidden="false" customHeight="false" outlineLevel="0" collapsed="false">
      <c r="A22" s="11" t="n">
        <v>44363</v>
      </c>
      <c r="B22" s="12" t="str">
        <f aca="false">HYPERLINK("https://my.zakupki.prom.ua/remote/dispatcher/state_purchase_view/27540354", "UA-2021-06-16-010574-b")</f>
        <v>UA-2021-06-16-010574-b</v>
      </c>
      <c r="C22" s="13" t="s">
        <v>158</v>
      </c>
      <c r="D22" s="13" t="s">
        <v>159</v>
      </c>
      <c r="E22" s="13" t="s">
        <v>12</v>
      </c>
      <c r="F22" s="14" t="s">
        <v>13</v>
      </c>
      <c r="G22" s="13" t="s">
        <v>235</v>
      </c>
      <c r="H22" s="15" t="s">
        <v>161</v>
      </c>
      <c r="I22" s="16" t="n">
        <v>3180</v>
      </c>
    </row>
    <row r="23" customFormat="false" ht="53.4" hidden="false" customHeight="false" outlineLevel="0" collapsed="false">
      <c r="A23" s="11" t="n">
        <v>44313</v>
      </c>
      <c r="B23" s="12" t="str">
        <f aca="false">HYPERLINK("https://my.zakupki.prom.ua/remote/dispatcher/state_purchase_view/26167740", "UA-2021-04-27-000593-c")</f>
        <v>UA-2021-04-27-000593-c</v>
      </c>
      <c r="C23" s="13" t="s">
        <v>152</v>
      </c>
      <c r="D23" s="13" t="s">
        <v>16</v>
      </c>
      <c r="E23" s="13" t="s">
        <v>12</v>
      </c>
      <c r="F23" s="14" t="s">
        <v>13</v>
      </c>
      <c r="G23" s="13" t="s">
        <v>14</v>
      </c>
      <c r="H23" s="15" t="s">
        <v>15</v>
      </c>
      <c r="I23" s="16" t="n">
        <v>1502</v>
      </c>
    </row>
    <row r="24" customFormat="false" ht="53.4" hidden="false" customHeight="false" outlineLevel="0" collapsed="false">
      <c r="A24" s="11" t="n">
        <v>44307</v>
      </c>
      <c r="B24" s="12" t="str">
        <f aca="false">HYPERLINK("https://my.zakupki.prom.ua/remote/dispatcher/state_purchase_view/26030563", "UA-2021-04-21-008507-c")</f>
        <v>UA-2021-04-21-008507-c</v>
      </c>
      <c r="C24" s="13" t="s">
        <v>236</v>
      </c>
      <c r="D24" s="13" t="s">
        <v>237</v>
      </c>
      <c r="E24" s="13" t="s">
        <v>12</v>
      </c>
      <c r="F24" s="14" t="s">
        <v>13</v>
      </c>
      <c r="G24" s="13" t="s">
        <v>238</v>
      </c>
      <c r="H24" s="15" t="s">
        <v>239</v>
      </c>
      <c r="I24" s="16" t="n">
        <v>5700</v>
      </c>
    </row>
    <row r="25" customFormat="false" ht="94.65" hidden="false" customHeight="false" outlineLevel="0" collapsed="false">
      <c r="A25" s="11" t="n">
        <v>44343</v>
      </c>
      <c r="B25" s="12" t="str">
        <f aca="false">HYPERLINK("https://my.zakupki.prom.ua/remote/dispatcher/state_purchase_view/26944058", "UA-2021-05-27-005163-b")</f>
        <v>UA-2021-05-27-005163-b</v>
      </c>
      <c r="C25" s="13" t="s">
        <v>240</v>
      </c>
      <c r="D25" s="13" t="s">
        <v>171</v>
      </c>
      <c r="E25" s="13" t="s">
        <v>12</v>
      </c>
      <c r="F25" s="14" t="s">
        <v>13</v>
      </c>
      <c r="G25" s="13" t="s">
        <v>172</v>
      </c>
      <c r="H25" s="15" t="s">
        <v>173</v>
      </c>
      <c r="I25" s="16" t="n">
        <v>5000</v>
      </c>
    </row>
    <row r="26" customFormat="false" ht="53.4" hidden="false" customHeight="false" outlineLevel="0" collapsed="false">
      <c r="A26" s="11" t="n">
        <v>44342</v>
      </c>
      <c r="B26" s="12" t="str">
        <f aca="false">HYPERLINK("https://my.zakupki.prom.ua/remote/dispatcher/state_purchase_view/26886866", "UA-2021-05-26-000667-b")</f>
        <v>UA-2021-05-26-000667-b</v>
      </c>
      <c r="C26" s="13" t="s">
        <v>126</v>
      </c>
      <c r="D26" s="13" t="s">
        <v>193</v>
      </c>
      <c r="E26" s="13" t="s">
        <v>12</v>
      </c>
      <c r="F26" s="14" t="s">
        <v>13</v>
      </c>
      <c r="G26" s="13" t="s">
        <v>217</v>
      </c>
      <c r="H26" s="15" t="s">
        <v>208</v>
      </c>
      <c r="I26" s="16" t="n">
        <v>275</v>
      </c>
    </row>
    <row r="27" customFormat="false" ht="53.4" hidden="false" customHeight="false" outlineLevel="0" collapsed="false">
      <c r="A27" s="11" t="n">
        <v>44342</v>
      </c>
      <c r="B27" s="12" t="str">
        <f aca="false">HYPERLINK("https://my.zakupki.prom.ua/remote/dispatcher/state_purchase_view/26918341", "UA-2021-05-26-011688-b")</f>
        <v>UA-2021-05-26-011688-b</v>
      </c>
      <c r="C27" s="13" t="s">
        <v>241</v>
      </c>
      <c r="D27" s="13" t="s">
        <v>242</v>
      </c>
      <c r="E27" s="13" t="s">
        <v>12</v>
      </c>
      <c r="F27" s="14" t="s">
        <v>13</v>
      </c>
      <c r="G27" s="13" t="s">
        <v>243</v>
      </c>
      <c r="H27" s="15" t="s">
        <v>244</v>
      </c>
      <c r="I27" s="16" t="n">
        <v>4822.5</v>
      </c>
    </row>
    <row r="28" customFormat="false" ht="53.4" hidden="false" customHeight="false" outlineLevel="0" collapsed="false">
      <c r="A28" s="11" t="n">
        <v>44350</v>
      </c>
      <c r="B28" s="12" t="str">
        <f aca="false">HYPERLINK("https://my.zakupki.prom.ua/remote/dispatcher/state_purchase_view/27150638", "UA-2021-06-03-007435-b")</f>
        <v>UA-2021-06-03-007435-b</v>
      </c>
      <c r="C28" s="13" t="s">
        <v>245</v>
      </c>
      <c r="D28" s="13" t="s">
        <v>246</v>
      </c>
      <c r="E28" s="13" t="s">
        <v>12</v>
      </c>
      <c r="F28" s="14" t="s">
        <v>13</v>
      </c>
      <c r="G28" s="13" t="s">
        <v>247</v>
      </c>
      <c r="H28" s="15" t="s">
        <v>248</v>
      </c>
      <c r="I28" s="16" t="n">
        <v>3000</v>
      </c>
    </row>
    <row r="29" customFormat="false" ht="53.4" hidden="false" customHeight="false" outlineLevel="0" collapsed="false">
      <c r="A29" s="11" t="n">
        <v>44305</v>
      </c>
      <c r="B29" s="12" t="str">
        <f aca="false">HYPERLINK("https://my.zakupki.prom.ua/remote/dispatcher/state_purchase_view/25951604", "UA-2021-04-19-007270-c")</f>
        <v>UA-2021-04-19-007270-c</v>
      </c>
      <c r="C29" s="13" t="s">
        <v>25</v>
      </c>
      <c r="D29" s="13" t="s">
        <v>249</v>
      </c>
      <c r="E29" s="13" t="s">
        <v>12</v>
      </c>
      <c r="F29" s="14" t="s">
        <v>13</v>
      </c>
      <c r="G29" s="13" t="s">
        <v>27</v>
      </c>
      <c r="H29" s="15" t="s">
        <v>28</v>
      </c>
      <c r="I29" s="16" t="n">
        <v>522</v>
      </c>
    </row>
    <row r="30" customFormat="false" ht="53.4" hidden="false" customHeight="false" outlineLevel="0" collapsed="false">
      <c r="A30" s="11" t="n">
        <v>44302</v>
      </c>
      <c r="B30" s="12" t="str">
        <f aca="false">HYPERLINK("https://my.zakupki.prom.ua/remote/dispatcher/state_purchase_view/25908391", "UA-2021-04-16-006806-b")</f>
        <v>UA-2021-04-16-006806-b</v>
      </c>
      <c r="C30" s="13" t="s">
        <v>25</v>
      </c>
      <c r="D30" s="13" t="s">
        <v>83</v>
      </c>
      <c r="E30" s="13" t="s">
        <v>12</v>
      </c>
      <c r="F30" s="14" t="s">
        <v>13</v>
      </c>
      <c r="G30" s="13" t="s">
        <v>224</v>
      </c>
      <c r="H30" s="15" t="s">
        <v>28</v>
      </c>
      <c r="I30" s="16" t="n">
        <v>52.25</v>
      </c>
    </row>
    <row r="31" customFormat="false" ht="53.4" hidden="false" customHeight="false" outlineLevel="0" collapsed="false">
      <c r="A31" s="11" t="n">
        <v>44287</v>
      </c>
      <c r="B31" s="12" t="str">
        <f aca="false">HYPERLINK("https://my.zakupki.prom.ua/remote/dispatcher/state_purchase_view/25459375", "UA-2021-04-01-004695-b")</f>
        <v>UA-2021-04-01-004695-b</v>
      </c>
      <c r="C31" s="13" t="s">
        <v>250</v>
      </c>
      <c r="D31" s="13" t="s">
        <v>251</v>
      </c>
      <c r="E31" s="13" t="s">
        <v>12</v>
      </c>
      <c r="F31" s="14" t="s">
        <v>13</v>
      </c>
      <c r="G31" s="13" t="s">
        <v>163</v>
      </c>
      <c r="H31" s="15" t="s">
        <v>164</v>
      </c>
      <c r="I31" s="16" t="n">
        <v>720</v>
      </c>
    </row>
    <row r="32" customFormat="false" ht="94.65" hidden="false" customHeight="false" outlineLevel="0" collapsed="false">
      <c r="A32" s="11" t="n">
        <v>44300</v>
      </c>
      <c r="B32" s="12" t="str">
        <f aca="false">HYPERLINK("https://my.zakupki.prom.ua/remote/dispatcher/state_purchase_view/25807132", "UA-2021-04-14-001886-c")</f>
        <v>UA-2021-04-14-001886-c</v>
      </c>
      <c r="C32" s="13" t="s">
        <v>252</v>
      </c>
      <c r="D32" s="13" t="s">
        <v>253</v>
      </c>
      <c r="E32" s="13" t="s">
        <v>12</v>
      </c>
      <c r="F32" s="14" t="s">
        <v>13</v>
      </c>
      <c r="G32" s="13" t="s">
        <v>254</v>
      </c>
      <c r="H32" s="15" t="s">
        <v>255</v>
      </c>
      <c r="I32" s="16" t="n">
        <v>3423.6</v>
      </c>
    </row>
    <row r="33" customFormat="false" ht="53.4" hidden="false" customHeight="false" outlineLevel="0" collapsed="false">
      <c r="A33" s="11" t="n">
        <v>44294</v>
      </c>
      <c r="B33" s="12" t="str">
        <f aca="false">HYPERLINK("https://my.zakupki.prom.ua/remote/dispatcher/state_purchase_view/25657257", "UA-2021-04-08-002515-c")</f>
        <v>UA-2021-04-08-002515-c</v>
      </c>
      <c r="C33" s="13" t="s">
        <v>256</v>
      </c>
      <c r="D33" s="13" t="s">
        <v>130</v>
      </c>
      <c r="E33" s="13" t="s">
        <v>12</v>
      </c>
      <c r="F33" s="14" t="s">
        <v>13</v>
      </c>
      <c r="G33" s="13" t="s">
        <v>257</v>
      </c>
      <c r="H33" s="15" t="s">
        <v>258</v>
      </c>
      <c r="I33" s="16" t="n">
        <v>1633</v>
      </c>
    </row>
    <row r="34" customFormat="false" ht="53.4" hidden="false" customHeight="false" outlineLevel="0" collapsed="false">
      <c r="A34" s="11" t="n">
        <v>44335</v>
      </c>
      <c r="B34" s="12" t="str">
        <f aca="false">HYPERLINK("https://my.zakupki.prom.ua/remote/dispatcher/state_purchase_view/26683810", "UA-2021-05-19-007352-b")</f>
        <v>UA-2021-05-19-007352-b</v>
      </c>
      <c r="C34" s="13" t="s">
        <v>259</v>
      </c>
      <c r="D34" s="13" t="s">
        <v>34</v>
      </c>
      <c r="E34" s="13" t="s">
        <v>12</v>
      </c>
      <c r="F34" s="14" t="s">
        <v>13</v>
      </c>
      <c r="G34" s="13" t="s">
        <v>260</v>
      </c>
      <c r="H34" s="15" t="s">
        <v>261</v>
      </c>
      <c r="I34" s="16" t="n">
        <v>3150</v>
      </c>
    </row>
    <row r="35" customFormat="false" ht="53.4" hidden="false" customHeight="false" outlineLevel="0" collapsed="false">
      <c r="A35" s="11" t="n">
        <v>44337</v>
      </c>
      <c r="B35" s="12" t="str">
        <f aca="false">HYPERLINK("https://my.zakupki.prom.ua/remote/dispatcher/state_purchase_view/26760493", "UA-2021-05-21-003459-b")</f>
        <v>UA-2021-05-21-003459-b</v>
      </c>
      <c r="C35" s="13" t="s">
        <v>152</v>
      </c>
      <c r="D35" s="13" t="s">
        <v>16</v>
      </c>
      <c r="E35" s="13" t="s">
        <v>12</v>
      </c>
      <c r="F35" s="14" t="s">
        <v>13</v>
      </c>
      <c r="G35" s="13" t="s">
        <v>14</v>
      </c>
      <c r="H35" s="15" t="s">
        <v>15</v>
      </c>
      <c r="I35" s="16" t="n">
        <v>1126</v>
      </c>
    </row>
    <row r="36" customFormat="false" ht="53.4" hidden="false" customHeight="false" outlineLevel="0" collapsed="false">
      <c r="A36" s="11" t="n">
        <v>44372</v>
      </c>
      <c r="B36" s="12" t="str">
        <f aca="false">HYPERLINK("https://my.zakupki.prom.ua/remote/dispatcher/state_purchase_view/27788637", "UA-2021-06-25-006741-c")</f>
        <v>UA-2021-06-25-006741-c</v>
      </c>
      <c r="C36" s="13" t="s">
        <v>262</v>
      </c>
      <c r="D36" s="13" t="s">
        <v>263</v>
      </c>
      <c r="E36" s="13" t="s">
        <v>12</v>
      </c>
      <c r="F36" s="14" t="s">
        <v>13</v>
      </c>
      <c r="G36" s="13" t="s">
        <v>264</v>
      </c>
      <c r="H36" s="15" t="s">
        <v>265</v>
      </c>
      <c r="I36" s="16" t="n">
        <v>1076</v>
      </c>
    </row>
    <row r="37" customFormat="false" ht="53.4" hidden="false" customHeight="false" outlineLevel="0" collapsed="false">
      <c r="A37" s="11" t="n">
        <v>44372</v>
      </c>
      <c r="B37" s="12" t="str">
        <f aca="false">HYPERLINK("https://my.zakupki.prom.ua/remote/dispatcher/state_purchase_view/27789214", "UA-2021-06-25-006898-c")</f>
        <v>UA-2021-06-25-006898-c</v>
      </c>
      <c r="C37" s="13" t="s">
        <v>266</v>
      </c>
      <c r="D37" s="13" t="s">
        <v>267</v>
      </c>
      <c r="E37" s="13" t="s">
        <v>12</v>
      </c>
      <c r="F37" s="14" t="s">
        <v>13</v>
      </c>
      <c r="G37" s="13" t="s">
        <v>264</v>
      </c>
      <c r="H37" s="15" t="s">
        <v>265</v>
      </c>
      <c r="I37" s="16" t="n">
        <v>600</v>
      </c>
    </row>
    <row r="38" customFormat="false" ht="53.4" hidden="false" customHeight="false" outlineLevel="0" collapsed="false">
      <c r="A38" s="11" t="n">
        <v>44321</v>
      </c>
      <c r="B38" s="12" t="str">
        <f aca="false">HYPERLINK("https://my.zakupki.prom.ua/remote/dispatcher/state_purchase_view/26325348", "UA-2021-05-05-007106-c")</f>
        <v>UA-2021-05-05-007106-c</v>
      </c>
      <c r="C38" s="13" t="s">
        <v>268</v>
      </c>
      <c r="D38" s="13" t="s">
        <v>269</v>
      </c>
      <c r="E38" s="13" t="s">
        <v>12</v>
      </c>
      <c r="F38" s="14" t="s">
        <v>13</v>
      </c>
      <c r="G38" s="13" t="s">
        <v>270</v>
      </c>
      <c r="H38" s="15" t="s">
        <v>271</v>
      </c>
      <c r="I38" s="16" t="n">
        <v>7842</v>
      </c>
    </row>
    <row r="39" customFormat="false" ht="53.4" hidden="false" customHeight="false" outlineLevel="0" collapsed="false">
      <c r="A39" s="11" t="n">
        <v>44305</v>
      </c>
      <c r="B39" s="12" t="str">
        <f aca="false">HYPERLINK("https://my.zakupki.prom.ua/remote/dispatcher/state_purchase_view/25952292", "UA-2021-04-19-007427-c")</f>
        <v>UA-2021-04-19-007427-c</v>
      </c>
      <c r="C39" s="13" t="s">
        <v>25</v>
      </c>
      <c r="D39" s="13" t="s">
        <v>272</v>
      </c>
      <c r="E39" s="13" t="s">
        <v>12</v>
      </c>
      <c r="F39" s="14" t="s">
        <v>13</v>
      </c>
      <c r="G39" s="13" t="s">
        <v>27</v>
      </c>
      <c r="H39" s="15" t="s">
        <v>28</v>
      </c>
      <c r="I39" s="16" t="n">
        <v>122</v>
      </c>
    </row>
    <row r="40" customFormat="false" ht="53.4" hidden="false" customHeight="false" outlineLevel="0" collapsed="false">
      <c r="A40" s="11" t="n">
        <v>44298</v>
      </c>
      <c r="B40" s="12" t="str">
        <f aca="false">HYPERLINK("https://my.zakupki.prom.ua/remote/dispatcher/state_purchase_view/25728034", "UA-2021-04-12-005407-a")</f>
        <v>UA-2021-04-12-005407-a</v>
      </c>
      <c r="C40" s="13" t="s">
        <v>273</v>
      </c>
      <c r="D40" s="13" t="s">
        <v>274</v>
      </c>
      <c r="E40" s="13" t="s">
        <v>12</v>
      </c>
      <c r="F40" s="14" t="s">
        <v>13</v>
      </c>
      <c r="G40" s="13" t="s">
        <v>275</v>
      </c>
      <c r="H40" s="15" t="s">
        <v>276</v>
      </c>
      <c r="I40" s="16" t="n">
        <v>2340</v>
      </c>
    </row>
    <row r="41" customFormat="false" ht="53.4" hidden="false" customHeight="false" outlineLevel="0" collapsed="false">
      <c r="A41" s="11" t="n">
        <v>44341</v>
      </c>
      <c r="B41" s="12" t="str">
        <f aca="false">HYPERLINK("https://my.zakupki.prom.ua/remote/dispatcher/state_purchase_view/26877058", "UA-2021-05-25-012748-b")</f>
        <v>UA-2021-05-25-012748-b</v>
      </c>
      <c r="C41" s="13" t="s">
        <v>277</v>
      </c>
      <c r="D41" s="13" t="s">
        <v>26</v>
      </c>
      <c r="E41" s="13" t="s">
        <v>12</v>
      </c>
      <c r="F41" s="14" t="s">
        <v>13</v>
      </c>
      <c r="G41" s="13" t="s">
        <v>80</v>
      </c>
      <c r="H41" s="15" t="s">
        <v>81</v>
      </c>
      <c r="I41" s="16" t="n">
        <v>1400</v>
      </c>
    </row>
    <row r="42" customFormat="false" ht="53.4" hidden="false" customHeight="false" outlineLevel="0" collapsed="false">
      <c r="A42" s="11" t="n">
        <v>44287</v>
      </c>
      <c r="B42" s="12" t="str">
        <f aca="false">HYPERLINK("https://my.zakupki.prom.ua/remote/dispatcher/state_purchase_view/25448737", "UA-2021-04-01-001959-a")</f>
        <v>UA-2021-04-01-001959-a</v>
      </c>
      <c r="C42" s="13" t="s">
        <v>250</v>
      </c>
      <c r="D42" s="13" t="s">
        <v>274</v>
      </c>
      <c r="E42" s="13" t="s">
        <v>12</v>
      </c>
      <c r="F42" s="14" t="s">
        <v>13</v>
      </c>
      <c r="G42" s="13" t="s">
        <v>163</v>
      </c>
      <c r="H42" s="15" t="s">
        <v>164</v>
      </c>
      <c r="I42" s="16" t="n">
        <v>547</v>
      </c>
    </row>
    <row r="43" customFormat="false" ht="53.4" hidden="false" customHeight="false" outlineLevel="0" collapsed="false">
      <c r="A43" s="11" t="n">
        <v>44305</v>
      </c>
      <c r="B43" s="12" t="str">
        <f aca="false">HYPERLINK("https://my.zakupki.prom.ua/remote/dispatcher/state_purchase_view/25954297", "UA-2021-04-19-006512-a")</f>
        <v>UA-2021-04-19-006512-a</v>
      </c>
      <c r="C43" s="13" t="s">
        <v>25</v>
      </c>
      <c r="D43" s="13" t="s">
        <v>26</v>
      </c>
      <c r="E43" s="13" t="s">
        <v>12</v>
      </c>
      <c r="F43" s="14" t="s">
        <v>13</v>
      </c>
      <c r="G43" s="13" t="s">
        <v>27</v>
      </c>
      <c r="H43" s="15" t="s">
        <v>28</v>
      </c>
      <c r="I43" s="16" t="n">
        <v>1078.35</v>
      </c>
    </row>
    <row r="44" customFormat="false" ht="53.4" hidden="false" customHeight="false" outlineLevel="0" collapsed="false">
      <c r="A44" s="11" t="n">
        <v>44305</v>
      </c>
      <c r="B44" s="12" t="str">
        <f aca="false">HYPERLINK("https://my.zakupki.prom.ua/remote/dispatcher/state_purchase_view/25953149", "UA-2021-04-19-007655-c")</f>
        <v>UA-2021-04-19-007655-c</v>
      </c>
      <c r="C44" s="13" t="s">
        <v>25</v>
      </c>
      <c r="D44" s="13" t="s">
        <v>121</v>
      </c>
      <c r="E44" s="13" t="s">
        <v>12</v>
      </c>
      <c r="F44" s="14" t="s">
        <v>13</v>
      </c>
      <c r="G44" s="13" t="s">
        <v>27</v>
      </c>
      <c r="H44" s="15" t="s">
        <v>28</v>
      </c>
      <c r="I44" s="16" t="n">
        <v>28</v>
      </c>
    </row>
    <row r="45" customFormat="false" ht="53.4" hidden="false" customHeight="false" outlineLevel="0" collapsed="false">
      <c r="A45" s="11" t="n">
        <v>44291</v>
      </c>
      <c r="B45" s="12" t="str">
        <f aca="false">HYPERLINK("https://my.zakupki.prom.ua/remote/dispatcher/state_purchase_view/25516268", "UA-2021-04-05-001873-c")</f>
        <v>UA-2021-04-05-001873-c</v>
      </c>
      <c r="C45" s="13" t="s">
        <v>278</v>
      </c>
      <c r="D45" s="13" t="s">
        <v>220</v>
      </c>
      <c r="E45" s="13" t="s">
        <v>12</v>
      </c>
      <c r="F45" s="14" t="s">
        <v>13</v>
      </c>
      <c r="G45" s="13" t="s">
        <v>279</v>
      </c>
      <c r="H45" s="15" t="s">
        <v>222</v>
      </c>
      <c r="I45" s="16" t="n">
        <v>14375.98</v>
      </c>
    </row>
    <row r="46" customFormat="false" ht="53.4" hidden="false" customHeight="false" outlineLevel="0" collapsed="false">
      <c r="A46" s="11" t="n">
        <v>44305</v>
      </c>
      <c r="B46" s="12" t="str">
        <f aca="false">HYPERLINK("https://my.zakupki.prom.ua/remote/dispatcher/state_purchase_view/25919652", "UA-2021-04-19-000566-a")</f>
        <v>UA-2021-04-19-000566-a</v>
      </c>
      <c r="C46" s="13" t="s">
        <v>25</v>
      </c>
      <c r="D46" s="13" t="s">
        <v>148</v>
      </c>
      <c r="E46" s="13" t="s">
        <v>12</v>
      </c>
      <c r="F46" s="14" t="s">
        <v>13</v>
      </c>
      <c r="G46" s="13" t="s">
        <v>27</v>
      </c>
      <c r="H46" s="15" t="s">
        <v>28</v>
      </c>
      <c r="I46" s="16" t="n">
        <v>2833</v>
      </c>
    </row>
    <row r="47" customFormat="false" ht="53.4" hidden="false" customHeight="false" outlineLevel="0" collapsed="false">
      <c r="A47" s="11" t="n">
        <v>44369</v>
      </c>
      <c r="B47" s="12" t="str">
        <f aca="false">HYPERLINK("https://my.zakupki.prom.ua/remote/dispatcher/state_purchase_view/27671438", "UA-2021-06-22-010589-c")</f>
        <v>UA-2021-06-22-010589-c</v>
      </c>
      <c r="C47" s="13" t="s">
        <v>280</v>
      </c>
      <c r="D47" s="13" t="s">
        <v>281</v>
      </c>
      <c r="E47" s="13" t="s">
        <v>12</v>
      </c>
      <c r="F47" s="14" t="s">
        <v>13</v>
      </c>
      <c r="G47" s="13" t="s">
        <v>282</v>
      </c>
      <c r="H47" s="15" t="s">
        <v>283</v>
      </c>
      <c r="I47" s="16" t="n">
        <v>1300</v>
      </c>
    </row>
    <row r="48" customFormat="false" ht="84.35" hidden="false" customHeight="false" outlineLevel="0" collapsed="false">
      <c r="A48" s="11" t="n">
        <v>44337</v>
      </c>
      <c r="B48" s="12" t="str">
        <f aca="false">HYPERLINK("https://my.zakupki.prom.ua/remote/dispatcher/state_purchase_view/26785257", "UA-2021-05-21-012567-b")</f>
        <v>UA-2021-05-21-012567-b</v>
      </c>
      <c r="C48" s="13" t="s">
        <v>284</v>
      </c>
      <c r="D48" s="13" t="s">
        <v>171</v>
      </c>
      <c r="E48" s="13" t="s">
        <v>12</v>
      </c>
      <c r="F48" s="14" t="s">
        <v>13</v>
      </c>
      <c r="G48" s="13" t="s">
        <v>172</v>
      </c>
      <c r="H48" s="15" t="s">
        <v>173</v>
      </c>
      <c r="I48" s="16" t="n">
        <v>25650</v>
      </c>
    </row>
    <row r="49" customFormat="false" ht="53.4" hidden="false" customHeight="false" outlineLevel="0" collapsed="false">
      <c r="A49" s="11" t="n">
        <v>44344</v>
      </c>
      <c r="B49" s="12" t="str">
        <f aca="false">HYPERLINK("https://my.zakupki.prom.ua/remote/dispatcher/state_purchase_view/26991999", "UA-2021-05-28-007444-b")</f>
        <v>UA-2021-05-28-007444-b</v>
      </c>
      <c r="C49" s="13" t="s">
        <v>285</v>
      </c>
      <c r="D49" s="13" t="s">
        <v>263</v>
      </c>
      <c r="E49" s="13" t="s">
        <v>12</v>
      </c>
      <c r="F49" s="14" t="s">
        <v>13</v>
      </c>
      <c r="G49" s="13" t="s">
        <v>286</v>
      </c>
      <c r="H49" s="15" t="s">
        <v>287</v>
      </c>
      <c r="I49" s="16" t="n">
        <v>822</v>
      </c>
    </row>
    <row r="50" customFormat="false" ht="53.4" hidden="false" customHeight="false" outlineLevel="0" collapsed="false">
      <c r="A50" s="11" t="n">
        <v>44305</v>
      </c>
      <c r="B50" s="12" t="str">
        <f aca="false">HYPERLINK("https://my.zakupki.prom.ua/remote/dispatcher/state_purchase_view/25950686", "UA-2021-04-19-006956-c")</f>
        <v>UA-2021-04-19-006956-c</v>
      </c>
      <c r="C50" s="13" t="s">
        <v>25</v>
      </c>
      <c r="D50" s="13" t="s">
        <v>232</v>
      </c>
      <c r="E50" s="13" t="s">
        <v>12</v>
      </c>
      <c r="F50" s="14" t="s">
        <v>13</v>
      </c>
      <c r="G50" s="13" t="s">
        <v>27</v>
      </c>
      <c r="H50" s="15" t="s">
        <v>28</v>
      </c>
      <c r="I50" s="16" t="n">
        <v>334.5</v>
      </c>
    </row>
    <row r="51" customFormat="false" ht="53.4" hidden="false" customHeight="false" outlineLevel="0" collapsed="false">
      <c r="A51" s="11" t="n">
        <v>44287</v>
      </c>
      <c r="B51" s="12" t="str">
        <f aca="false">HYPERLINK("https://my.zakupki.prom.ua/remote/dispatcher/state_purchase_view/25447670", "UA-2021-04-01-003460-b")</f>
        <v>UA-2021-04-01-003460-b</v>
      </c>
      <c r="C51" s="13" t="s">
        <v>250</v>
      </c>
      <c r="D51" s="13" t="s">
        <v>130</v>
      </c>
      <c r="E51" s="13" t="s">
        <v>12</v>
      </c>
      <c r="F51" s="14" t="s">
        <v>13</v>
      </c>
      <c r="G51" s="13" t="s">
        <v>163</v>
      </c>
      <c r="H51" s="15" t="s">
        <v>164</v>
      </c>
      <c r="I51" s="16" t="n">
        <v>579</v>
      </c>
    </row>
    <row r="52" customFormat="false" ht="53.4" hidden="false" customHeight="false" outlineLevel="0" collapsed="false">
      <c r="A52" s="11" t="n">
        <v>44335</v>
      </c>
      <c r="B52" s="12" t="str">
        <f aca="false">HYPERLINK("https://my.zakupki.prom.ua/remote/dispatcher/state_purchase_view/26697670", "UA-2021-05-19-011291-b")</f>
        <v>UA-2021-05-19-011291-b</v>
      </c>
      <c r="C52" s="13" t="s">
        <v>288</v>
      </c>
      <c r="D52" s="13" t="s">
        <v>289</v>
      </c>
      <c r="E52" s="13" t="s">
        <v>12</v>
      </c>
      <c r="F52" s="14" t="s">
        <v>13</v>
      </c>
      <c r="G52" s="13" t="s">
        <v>290</v>
      </c>
      <c r="H52" s="15" t="s">
        <v>291</v>
      </c>
      <c r="I52" s="16" t="n">
        <v>15133</v>
      </c>
    </row>
    <row r="53" customFormat="false" ht="53.4" hidden="false" customHeight="false" outlineLevel="0" collapsed="false">
      <c r="A53" s="11" t="n">
        <v>44342</v>
      </c>
      <c r="B53" s="12" t="str">
        <f aca="false">HYPERLINK("https://my.zakupki.prom.ua/remote/dispatcher/state_purchase_view/26889068", "UA-2021-05-26-001359-b")</f>
        <v>UA-2021-05-26-001359-b</v>
      </c>
      <c r="C53" s="13" t="s">
        <v>126</v>
      </c>
      <c r="D53" s="13" t="s">
        <v>292</v>
      </c>
      <c r="E53" s="13" t="s">
        <v>12</v>
      </c>
      <c r="F53" s="14" t="s">
        <v>13</v>
      </c>
      <c r="G53" s="13" t="s">
        <v>217</v>
      </c>
      <c r="H53" s="15" t="s">
        <v>208</v>
      </c>
      <c r="I53" s="16" t="n">
        <v>402</v>
      </c>
    </row>
    <row r="54" customFormat="false" ht="53.4" hidden="false" customHeight="false" outlineLevel="0" collapsed="false">
      <c r="A54" s="11" t="n">
        <v>44305</v>
      </c>
      <c r="B54" s="12" t="str">
        <f aca="false">HYPERLINK("https://my.zakupki.prom.ua/remote/dispatcher/state_purchase_view/25921146", "UA-2021-04-19-001088-a")</f>
        <v>UA-2021-04-19-001088-a</v>
      </c>
      <c r="C54" s="13" t="s">
        <v>293</v>
      </c>
      <c r="D54" s="13" t="s">
        <v>193</v>
      </c>
      <c r="E54" s="13" t="s">
        <v>12</v>
      </c>
      <c r="F54" s="14" t="s">
        <v>13</v>
      </c>
      <c r="G54" s="13" t="s">
        <v>27</v>
      </c>
      <c r="H54" s="15" t="s">
        <v>28</v>
      </c>
      <c r="I54" s="16" t="n">
        <v>327</v>
      </c>
    </row>
    <row r="55" customFormat="false" ht="53.4" hidden="false" customHeight="false" outlineLevel="0" collapsed="false">
      <c r="A55" s="11" t="n">
        <v>44301</v>
      </c>
      <c r="B55" s="12" t="str">
        <f aca="false">HYPERLINK("https://my.zakupki.prom.ua/remote/dispatcher/state_purchase_view/25845068", "UA-2021-04-15-003561-b")</f>
        <v>UA-2021-04-15-003561-b</v>
      </c>
      <c r="C55" s="13" t="s">
        <v>152</v>
      </c>
      <c r="D55" s="13" t="s">
        <v>16</v>
      </c>
      <c r="E55" s="13" t="s">
        <v>12</v>
      </c>
      <c r="F55" s="14" t="s">
        <v>13</v>
      </c>
      <c r="G55" s="13" t="s">
        <v>14</v>
      </c>
      <c r="H55" s="15" t="s">
        <v>15</v>
      </c>
      <c r="I55" s="16" t="n">
        <v>2860</v>
      </c>
    </row>
    <row r="56" customFormat="false" ht="53.4" hidden="false" customHeight="false" outlineLevel="0" collapsed="false">
      <c r="A56" s="11" t="n">
        <v>44288</v>
      </c>
      <c r="B56" s="12" t="str">
        <f aca="false">HYPERLINK("https://my.zakupki.prom.ua/remote/dispatcher/state_purchase_view/25497456", "UA-2021-04-02-006485-b")</f>
        <v>UA-2021-04-02-006485-b</v>
      </c>
      <c r="C56" s="13" t="s">
        <v>294</v>
      </c>
      <c r="D56" s="13" t="s">
        <v>295</v>
      </c>
      <c r="E56" s="13" t="s">
        <v>12</v>
      </c>
      <c r="F56" s="14" t="s">
        <v>13</v>
      </c>
      <c r="G56" s="13" t="s">
        <v>296</v>
      </c>
      <c r="H56" s="15" t="s">
        <v>297</v>
      </c>
      <c r="I56" s="16" t="n">
        <v>17000</v>
      </c>
    </row>
    <row r="57" customFormat="false" ht="53.4" hidden="false" customHeight="false" outlineLevel="0" collapsed="false">
      <c r="A57" s="11" t="n">
        <v>44298</v>
      </c>
      <c r="B57" s="12" t="str">
        <f aca="false">HYPERLINK("https://my.zakupki.prom.ua/remote/dispatcher/state_purchase_view/25732538", "UA-2021-04-12-002716-c")</f>
        <v>UA-2021-04-12-002716-c</v>
      </c>
      <c r="C57" s="13" t="s">
        <v>298</v>
      </c>
      <c r="D57" s="13" t="s">
        <v>299</v>
      </c>
      <c r="E57" s="13" t="s">
        <v>12</v>
      </c>
      <c r="F57" s="14" t="s">
        <v>13</v>
      </c>
      <c r="G57" s="13" t="s">
        <v>300</v>
      </c>
      <c r="H57" s="15" t="s">
        <v>301</v>
      </c>
      <c r="I57" s="16" t="n">
        <v>4593</v>
      </c>
    </row>
    <row r="58" customFormat="false" ht="53.4" hidden="false" customHeight="false" outlineLevel="0" collapsed="false">
      <c r="A58" s="11" t="n">
        <v>44327</v>
      </c>
      <c r="B58" s="12" t="str">
        <f aca="false">HYPERLINK("https://my.zakupki.prom.ua/remote/dispatcher/state_purchase_view/26408225", "UA-2021-05-11-002441-a")</f>
        <v>UA-2021-05-11-002441-a</v>
      </c>
      <c r="C58" s="13" t="s">
        <v>158</v>
      </c>
      <c r="D58" s="13" t="s">
        <v>159</v>
      </c>
      <c r="E58" s="13" t="s">
        <v>12</v>
      </c>
      <c r="F58" s="14" t="s">
        <v>13</v>
      </c>
      <c r="G58" s="13" t="s">
        <v>160</v>
      </c>
      <c r="H58" s="15" t="s">
        <v>161</v>
      </c>
      <c r="I58" s="16" t="n">
        <v>3370</v>
      </c>
    </row>
    <row r="59" customFormat="false" ht="94.65" hidden="false" customHeight="false" outlineLevel="0" collapsed="false">
      <c r="A59" s="11" t="n">
        <v>44335</v>
      </c>
      <c r="B59" s="17" t="str">
        <f aca="false">HYPERLINK("https://my.zakupki.prom.ua/remote/dispatcher/state_purchase_view/26669213", "UA-2021-05-19-003226-b")</f>
        <v>UA-2021-05-19-003226-b</v>
      </c>
      <c r="C59" s="13" t="s">
        <v>302</v>
      </c>
      <c r="D59" s="18" t="s">
        <v>171</v>
      </c>
      <c r="E59" s="18" t="s">
        <v>12</v>
      </c>
      <c r="F59" s="19" t="s">
        <v>13</v>
      </c>
      <c r="G59" s="18" t="s">
        <v>172</v>
      </c>
      <c r="H59" s="20" t="s">
        <v>173</v>
      </c>
      <c r="I59" s="21" t="n">
        <v>1800</v>
      </c>
    </row>
    <row r="60" customFormat="false" ht="53.4" hidden="false" customHeight="false" outlineLevel="0" collapsed="false">
      <c r="A60" s="11" t="n">
        <v>44344</v>
      </c>
      <c r="B60" s="12" t="str">
        <f aca="false">HYPERLINK("https://my.zakupki.prom.ua/remote/dispatcher/state_purchase_view/26993639", "UA-2021-05-28-007915-b")</f>
        <v>UA-2021-05-28-007915-b</v>
      </c>
      <c r="C60" s="13" t="s">
        <v>285</v>
      </c>
      <c r="D60" s="13" t="s">
        <v>267</v>
      </c>
      <c r="E60" s="13" t="s">
        <v>12</v>
      </c>
      <c r="F60" s="14" t="s">
        <v>13</v>
      </c>
      <c r="G60" s="13" t="s">
        <v>286</v>
      </c>
      <c r="H60" s="15" t="s">
        <v>287</v>
      </c>
      <c r="I60" s="16" t="n">
        <v>177</v>
      </c>
    </row>
    <row r="61" customFormat="false" ht="53.4" hidden="false" customHeight="false" outlineLevel="0" collapsed="false">
      <c r="A61" s="11" t="n">
        <v>44321</v>
      </c>
      <c r="B61" s="12" t="str">
        <f aca="false">HYPERLINK("https://my.zakupki.prom.ua/remote/dispatcher/state_purchase_view/26301835", "UA-2021-05-05-000927-c")</f>
        <v>UA-2021-05-05-000927-c</v>
      </c>
      <c r="C61" s="13" t="s">
        <v>303</v>
      </c>
      <c r="D61" s="13" t="s">
        <v>304</v>
      </c>
      <c r="E61" s="13" t="s">
        <v>12</v>
      </c>
      <c r="F61" s="14" t="s">
        <v>13</v>
      </c>
      <c r="G61" s="13" t="s">
        <v>305</v>
      </c>
      <c r="H61" s="15" t="s">
        <v>306</v>
      </c>
      <c r="I61" s="16" t="n">
        <v>2790</v>
      </c>
    </row>
    <row r="62" customFormat="false" ht="53.4" hidden="false" customHeight="false" outlineLevel="0" collapsed="false">
      <c r="A62" s="11" t="n">
        <v>44371</v>
      </c>
      <c r="B62" s="12" t="str">
        <f aca="false">HYPERLINK("https://my.zakupki.prom.ua/remote/dispatcher/state_purchase_view/27727438", "UA-2021-06-24-001216-c")</f>
        <v>UA-2021-06-24-001216-c</v>
      </c>
      <c r="C62" s="13" t="s">
        <v>10</v>
      </c>
      <c r="D62" s="13" t="s">
        <v>16</v>
      </c>
      <c r="E62" s="13" t="s">
        <v>12</v>
      </c>
      <c r="F62" s="14" t="s">
        <v>13</v>
      </c>
      <c r="G62" s="13" t="s">
        <v>209</v>
      </c>
      <c r="H62" s="15" t="s">
        <v>15</v>
      </c>
      <c r="I62" s="16" t="n">
        <v>1200</v>
      </c>
    </row>
    <row r="63" customFormat="false" ht="53.4" hidden="false" customHeight="false" outlineLevel="0" collapsed="false">
      <c r="A63" s="11" t="n">
        <v>44312</v>
      </c>
      <c r="B63" s="12" t="str">
        <f aca="false">HYPERLINK("https://my.zakupki.prom.ua/remote/dispatcher/state_purchase_view/26161528", "UA-2021-04-26-006433-c")</f>
        <v>UA-2021-04-26-006433-c</v>
      </c>
      <c r="C63" s="13" t="s">
        <v>307</v>
      </c>
      <c r="D63" s="13" t="s">
        <v>71</v>
      </c>
      <c r="E63" s="13" t="s">
        <v>12</v>
      </c>
      <c r="F63" s="14" t="s">
        <v>13</v>
      </c>
      <c r="G63" s="13" t="s">
        <v>72</v>
      </c>
      <c r="H63" s="15" t="s">
        <v>73</v>
      </c>
      <c r="I63" s="16" t="n">
        <v>2509</v>
      </c>
    </row>
    <row r="64" customFormat="false" ht="53.4" hidden="false" customHeight="false" outlineLevel="0" collapsed="false">
      <c r="A64" s="11" t="n">
        <v>44305</v>
      </c>
      <c r="B64" s="12" t="str">
        <f aca="false">HYPERLINK("https://my.zakupki.prom.ua/remote/dispatcher/state_purchase_view/25923066", "UA-2021-04-19-000730-b")</f>
        <v>UA-2021-04-19-000730-b</v>
      </c>
      <c r="C64" s="13" t="s">
        <v>25</v>
      </c>
      <c r="D64" s="13" t="s">
        <v>105</v>
      </c>
      <c r="E64" s="13" t="s">
        <v>12</v>
      </c>
      <c r="F64" s="14" t="s">
        <v>13</v>
      </c>
      <c r="G64" s="13" t="s">
        <v>27</v>
      </c>
      <c r="H64" s="15" t="s">
        <v>28</v>
      </c>
      <c r="I64" s="16" t="n">
        <v>621.3</v>
      </c>
    </row>
    <row r="65" customFormat="false" ht="53.4" hidden="false" customHeight="false" outlineLevel="0" collapsed="false">
      <c r="A65" s="11" t="n">
        <v>44305</v>
      </c>
      <c r="B65" s="12" t="str">
        <f aca="false">HYPERLINK("https://my.zakupki.prom.ua/remote/dispatcher/state_purchase_view/25953717", "UA-2021-04-19-006332-a")</f>
        <v>UA-2021-04-19-006332-a</v>
      </c>
      <c r="C65" s="13" t="s">
        <v>25</v>
      </c>
      <c r="D65" s="13" t="s">
        <v>195</v>
      </c>
      <c r="E65" s="13" t="s">
        <v>12</v>
      </c>
      <c r="F65" s="14" t="s">
        <v>13</v>
      </c>
      <c r="G65" s="13" t="s">
        <v>27</v>
      </c>
      <c r="H65" s="15" t="s">
        <v>28</v>
      </c>
      <c r="I65" s="16" t="n">
        <v>141</v>
      </c>
    </row>
    <row r="66" customFormat="false" ht="53.4" hidden="false" customHeight="false" outlineLevel="0" collapsed="false">
      <c r="A66" s="11" t="n">
        <v>44370</v>
      </c>
      <c r="B66" s="12" t="str">
        <f aca="false">HYPERLINK("https://my.zakupki.prom.ua/remote/dispatcher/state_purchase_view/27683598", "UA-2021-06-23-001179-c")</f>
        <v>UA-2021-06-23-001179-c</v>
      </c>
      <c r="C66" s="13" t="s">
        <v>308</v>
      </c>
      <c r="D66" s="13" t="s">
        <v>171</v>
      </c>
      <c r="E66" s="13" t="s">
        <v>12</v>
      </c>
      <c r="F66" s="14" t="s">
        <v>13</v>
      </c>
      <c r="G66" s="13" t="s">
        <v>309</v>
      </c>
      <c r="H66" s="15" t="s">
        <v>173</v>
      </c>
      <c r="I66" s="16" t="n">
        <v>10995.6</v>
      </c>
    </row>
    <row r="67" customFormat="false" ht="53.4" hidden="false" customHeight="false" outlineLevel="0" collapsed="false">
      <c r="A67" s="11" t="n">
        <v>44362</v>
      </c>
      <c r="B67" s="12" t="str">
        <f aca="false">HYPERLINK("https://my.zakupki.prom.ua/remote/dispatcher/state_purchase_view/27494201", "UA-2021-06-15-009465-b")</f>
        <v>UA-2021-06-15-009465-b</v>
      </c>
      <c r="C67" s="13" t="s">
        <v>231</v>
      </c>
      <c r="D67" s="13" t="s">
        <v>232</v>
      </c>
      <c r="E67" s="13" t="s">
        <v>12</v>
      </c>
      <c r="F67" s="14" t="s">
        <v>13</v>
      </c>
      <c r="G67" s="13" t="s">
        <v>233</v>
      </c>
      <c r="H67" s="15" t="s">
        <v>234</v>
      </c>
      <c r="I67" s="16" t="n">
        <v>9800</v>
      </c>
    </row>
    <row r="68" customFormat="false" ht="53.4" hidden="false" customHeight="false" outlineLevel="0" collapsed="false">
      <c r="A68" s="11" t="n">
        <v>44351</v>
      </c>
      <c r="B68" s="12" t="str">
        <f aca="false">HYPERLINK("https://my.zakupki.prom.ua/remote/dispatcher/state_purchase_view/27194975", "UA-2021-06-04-007295-b")</f>
        <v>UA-2021-06-04-007295-b</v>
      </c>
      <c r="C68" s="13" t="s">
        <v>310</v>
      </c>
      <c r="D68" s="13" t="s">
        <v>311</v>
      </c>
      <c r="E68" s="13" t="s">
        <v>12</v>
      </c>
      <c r="F68" s="14" t="s">
        <v>13</v>
      </c>
      <c r="G68" s="13" t="s">
        <v>290</v>
      </c>
      <c r="H68" s="15" t="s">
        <v>291</v>
      </c>
      <c r="I68" s="16" t="n">
        <v>7386</v>
      </c>
    </row>
    <row r="69" customFormat="false" ht="14.05" hidden="false" customHeight="true" outlineLevel="0" collapsed="false">
      <c r="A69" s="11" t="n">
        <v>44356</v>
      </c>
      <c r="B69" s="12" t="str">
        <f aca="false">HYPERLINK("https://my.zakupki.prom.ua/remote/dispatcher/state_purchase_view/27334214", "UA-2021-06-09-010959-b")</f>
        <v>UA-2021-06-09-010959-b</v>
      </c>
      <c r="C69" s="7" t="s">
        <v>312</v>
      </c>
      <c r="D69" s="13" t="s">
        <v>313</v>
      </c>
      <c r="E69" s="13" t="s">
        <v>12</v>
      </c>
      <c r="F69" s="14" t="s">
        <v>13</v>
      </c>
      <c r="G69" s="13" t="s">
        <v>314</v>
      </c>
      <c r="H69" s="15" t="s">
        <v>239</v>
      </c>
      <c r="I69" s="16" t="n">
        <v>3200</v>
      </c>
    </row>
    <row r="70" customFormat="false" ht="53.4" hidden="false" customHeight="false" outlineLevel="0" collapsed="false">
      <c r="A70" s="11" t="n">
        <v>44340</v>
      </c>
      <c r="B70" s="12" t="str">
        <f aca="false">HYPERLINK("https://my.zakupki.prom.ua/remote/dispatcher/state_purchase_view/26816289", "UA-2021-05-24-007518-b")</f>
        <v>UA-2021-05-24-007518-b</v>
      </c>
      <c r="C70" s="13" t="s">
        <v>315</v>
      </c>
      <c r="D70" s="13" t="s">
        <v>289</v>
      </c>
      <c r="E70" s="13" t="s">
        <v>12</v>
      </c>
      <c r="F70" s="14" t="s">
        <v>13</v>
      </c>
      <c r="G70" s="13" t="s">
        <v>316</v>
      </c>
      <c r="H70" s="15" t="s">
        <v>317</v>
      </c>
      <c r="I70" s="16" t="n">
        <v>5200</v>
      </c>
    </row>
    <row r="71" customFormat="false" ht="53.4" hidden="false" customHeight="false" outlineLevel="0" collapsed="false">
      <c r="A71" s="11" t="n">
        <v>44363</v>
      </c>
      <c r="B71" s="12" t="str">
        <f aca="false">HYPERLINK("https://my.zakupki.prom.ua/remote/dispatcher/state_purchase_view/27543705", "UA-2021-06-16-011786-b")</f>
        <v>UA-2021-06-16-011786-b</v>
      </c>
      <c r="C71" s="13" t="s">
        <v>158</v>
      </c>
      <c r="D71" s="13" t="s">
        <v>159</v>
      </c>
      <c r="E71" s="13" t="s">
        <v>12</v>
      </c>
      <c r="F71" s="14" t="s">
        <v>13</v>
      </c>
      <c r="G71" s="13" t="s">
        <v>235</v>
      </c>
      <c r="H71" s="15" t="s">
        <v>161</v>
      </c>
      <c r="I71" s="16" t="n">
        <v>3000</v>
      </c>
    </row>
    <row r="72" customFormat="false" ht="53.4" hidden="false" customHeight="false" outlineLevel="0" collapsed="false">
      <c r="A72" s="11" t="n">
        <v>44305</v>
      </c>
      <c r="B72" s="12" t="str">
        <f aca="false">HYPERLINK("https://my.zakupki.prom.ua/remote/dispatcher/state_purchase_view/25924472", "UA-2021-04-19-001115-b")</f>
        <v>UA-2021-04-19-001115-b</v>
      </c>
      <c r="C72" s="13" t="s">
        <v>25</v>
      </c>
      <c r="D72" s="13" t="s">
        <v>318</v>
      </c>
      <c r="E72" s="13" t="s">
        <v>12</v>
      </c>
      <c r="F72" s="14" t="s">
        <v>13</v>
      </c>
      <c r="G72" s="13" t="s">
        <v>27</v>
      </c>
      <c r="H72" s="15" t="s">
        <v>28</v>
      </c>
      <c r="I72" s="16" t="n">
        <v>55</v>
      </c>
    </row>
    <row r="73" customFormat="false" ht="53.4" hidden="false" customHeight="false" outlineLevel="0" collapsed="false">
      <c r="A73" s="11" t="n">
        <v>44294</v>
      </c>
      <c r="B73" s="12" t="str">
        <f aca="false">HYPERLINK("https://my.zakupki.prom.ua/remote/dispatcher/state_purchase_view/25651764", "UA-2021-04-08-006925-b")</f>
        <v>UA-2021-04-08-006925-b</v>
      </c>
      <c r="C73" s="13" t="s">
        <v>319</v>
      </c>
      <c r="D73" s="13" t="s">
        <v>130</v>
      </c>
      <c r="E73" s="13" t="s">
        <v>12</v>
      </c>
      <c r="F73" s="14" t="s">
        <v>13</v>
      </c>
      <c r="G73" s="13" t="s">
        <v>320</v>
      </c>
      <c r="H73" s="15" t="s">
        <v>321</v>
      </c>
      <c r="I73" s="16" t="n">
        <v>6331.28</v>
      </c>
    </row>
    <row r="74" customFormat="false" ht="53.4" hidden="false" customHeight="false" outlineLevel="0" collapsed="false">
      <c r="A74" s="11" t="n">
        <v>44323</v>
      </c>
      <c r="B74" s="12" t="str">
        <f aca="false">HYPERLINK("https://my.zakupki.prom.ua/remote/dispatcher/state_purchase_view/26389588", "UA-2021-05-07-006779-b")</f>
        <v>UA-2021-05-07-006779-b</v>
      </c>
      <c r="C74" s="13" t="s">
        <v>322</v>
      </c>
      <c r="D74" s="13" t="s">
        <v>214</v>
      </c>
      <c r="E74" s="13" t="s">
        <v>12</v>
      </c>
      <c r="F74" s="14" t="s">
        <v>13</v>
      </c>
      <c r="G74" s="13" t="s">
        <v>323</v>
      </c>
      <c r="H74" s="15" t="s">
        <v>324</v>
      </c>
      <c r="I74" s="16" t="n">
        <v>5749</v>
      </c>
    </row>
    <row r="75" customFormat="false" ht="53.4" hidden="false" customHeight="false" outlineLevel="0" collapsed="false">
      <c r="A75" s="11" t="n">
        <v>44372</v>
      </c>
      <c r="B75" s="12" t="str">
        <f aca="false">HYPERLINK("https://my.zakupki.prom.ua/remote/dispatcher/state_purchase_view/27792217", "UA-2021-06-25-007741-c")</f>
        <v>UA-2021-06-25-007741-c</v>
      </c>
      <c r="C75" s="13" t="s">
        <v>319</v>
      </c>
      <c r="D75" s="13" t="s">
        <v>130</v>
      </c>
      <c r="E75" s="13" t="s">
        <v>12</v>
      </c>
      <c r="F75" s="14" t="s">
        <v>13</v>
      </c>
      <c r="G75" s="13" t="s">
        <v>325</v>
      </c>
      <c r="H75" s="15" t="s">
        <v>164</v>
      </c>
      <c r="I75" s="16" t="n">
        <v>1342</v>
      </c>
    </row>
    <row r="76" customFormat="false" ht="53.4" hidden="false" customHeight="false" outlineLevel="0" collapsed="false">
      <c r="A76" s="11" t="n">
        <v>44348</v>
      </c>
      <c r="B76" s="12" t="str">
        <f aca="false">HYPERLINK("https://my.zakupki.prom.ua/remote/dispatcher/state_purchase_view/27058991", "UA-2021-06-01-006659-b")</f>
        <v>UA-2021-06-01-006659-b</v>
      </c>
      <c r="C76" s="13" t="s">
        <v>326</v>
      </c>
      <c r="D76" s="13" t="s">
        <v>327</v>
      </c>
      <c r="E76" s="13" t="s">
        <v>12</v>
      </c>
      <c r="F76" s="14" t="s">
        <v>13</v>
      </c>
      <c r="G76" s="13" t="s">
        <v>23</v>
      </c>
      <c r="H76" s="15" t="s">
        <v>24</v>
      </c>
      <c r="I76" s="16" t="n">
        <v>4153.02</v>
      </c>
    </row>
    <row r="77" customFormat="false" ht="53.4" hidden="false" customHeight="false" outlineLevel="0" collapsed="false">
      <c r="A77" s="11" t="n">
        <v>44305</v>
      </c>
      <c r="B77" s="12" t="str">
        <f aca="false">HYPERLINK("https://my.zakupki.prom.ua/remote/dispatcher/state_purchase_view/25928479", "UA-2021-04-19-001097-c")</f>
        <v>UA-2021-04-19-001097-c</v>
      </c>
      <c r="C77" s="13" t="s">
        <v>25</v>
      </c>
      <c r="D77" s="13" t="s">
        <v>128</v>
      </c>
      <c r="E77" s="13" t="s">
        <v>12</v>
      </c>
      <c r="F77" s="14" t="s">
        <v>13</v>
      </c>
      <c r="G77" s="13" t="s">
        <v>27</v>
      </c>
      <c r="H77" s="15" t="s">
        <v>28</v>
      </c>
      <c r="I77" s="16" t="n">
        <v>1526</v>
      </c>
    </row>
    <row r="78" customFormat="false" ht="53.4" hidden="false" customHeight="false" outlineLevel="0" collapsed="false">
      <c r="A78" s="11" t="n">
        <v>44342</v>
      </c>
      <c r="B78" s="12" t="str">
        <f aca="false">HYPERLINK("https://my.zakupki.prom.ua/remote/dispatcher/state_purchase_view/26896381", "UA-2021-05-26-003987-b")</f>
        <v>UA-2021-05-26-003987-b</v>
      </c>
      <c r="C78" s="13" t="s">
        <v>126</v>
      </c>
      <c r="D78" s="13" t="s">
        <v>53</v>
      </c>
      <c r="E78" s="13" t="s">
        <v>12</v>
      </c>
      <c r="F78" s="14" t="s">
        <v>13</v>
      </c>
      <c r="G78" s="13" t="s">
        <v>217</v>
      </c>
      <c r="H78" s="15" t="s">
        <v>208</v>
      </c>
      <c r="I78" s="16" t="n">
        <v>317</v>
      </c>
    </row>
    <row r="79" customFormat="false" ht="53.4" hidden="false" customHeight="false" outlineLevel="0" collapsed="false">
      <c r="A79" s="11" t="n">
        <v>44342</v>
      </c>
      <c r="B79" s="12" t="str">
        <f aca="false">HYPERLINK("https://my.zakupki.prom.ua/remote/dispatcher/state_purchase_view/26892517", "UA-2021-05-26-002544-b")</f>
        <v>UA-2021-05-26-002544-b</v>
      </c>
      <c r="C79" s="13" t="s">
        <v>126</v>
      </c>
      <c r="D79" s="13" t="s">
        <v>328</v>
      </c>
      <c r="E79" s="13" t="s">
        <v>12</v>
      </c>
      <c r="F79" s="14" t="s">
        <v>13</v>
      </c>
      <c r="G79" s="13" t="s">
        <v>217</v>
      </c>
      <c r="H79" s="15" t="s">
        <v>208</v>
      </c>
      <c r="I79" s="16" t="n">
        <v>482</v>
      </c>
    </row>
    <row r="80" customFormat="false" ht="53.4" hidden="false" customHeight="false" outlineLevel="0" collapsed="false">
      <c r="A80" s="11" t="n">
        <v>44343</v>
      </c>
      <c r="B80" s="22" t="str">
        <f aca="false">HYPERLINK("https://my.zakupki.prom.ua/remote/dispatcher/state_purchase_view/26967321", "UA-2021-05-27-013461-b")</f>
        <v>UA-2021-05-27-013461-b</v>
      </c>
      <c r="C80" s="13" t="s">
        <v>329</v>
      </c>
      <c r="D80" s="13" t="s">
        <v>330</v>
      </c>
      <c r="E80" s="13" t="s">
        <v>12</v>
      </c>
      <c r="F80" s="14" t="s">
        <v>13</v>
      </c>
      <c r="G80" s="13" t="s">
        <v>286</v>
      </c>
      <c r="H80" s="15" t="s">
        <v>287</v>
      </c>
      <c r="I80" s="16" t="n">
        <v>5210</v>
      </c>
    </row>
    <row r="81" customFormat="false" ht="12.8" hidden="false" customHeight="false" outlineLevel="0" collapsed="false"/>
    <row r="82" customFormat="false" ht="12.8" hidden="false" customHeight="false" outlineLevel="0" collapsed="false"/>
    <row r="83" customFormat="false" ht="12.8" hidden="false" customHeight="false" outlineLevel="0" collapsed="false"/>
    <row r="84" customFormat="false" ht="12.8" hidden="false" customHeight="false" outlineLevel="0" collapsed="false"/>
    <row r="85" customFormat="false" ht="12.8" hidden="false" customHeight="false" outlineLevel="0" collapsed="false"/>
    <row r="86" customFormat="false" ht="12.8" hidden="false" customHeight="false" outlineLevel="0" collapsed="false"/>
    <row r="87" customFormat="false" ht="12.8" hidden="false" customHeight="false" outlineLevel="0" collapsed="false"/>
    <row r="88" customFormat="false" ht="12.8" hidden="false" customHeight="false" outlineLevel="0" collapsed="false"/>
    <row r="89" customFormat="false" ht="12.8" hidden="false" customHeight="false" outlineLevel="0" collapsed="false"/>
    <row r="90" customFormat="false" ht="12.8" hidden="false" customHeight="false" outlineLevel="0" collapsed="false"/>
    <row r="91" customFormat="false" ht="12.8" hidden="false" customHeight="false" outlineLevel="0" collapsed="false"/>
    <row r="92" customFormat="false" ht="12.8" hidden="false" customHeight="false" outlineLevel="0" collapsed="false"/>
    <row r="93" customFormat="false" ht="12.8" hidden="false" customHeight="false" outlineLevel="0" collapsed="false"/>
    <row r="94" customFormat="false" ht="12.8" hidden="false" customHeight="false" outlineLevel="0" collapsed="false"/>
    <row r="95" customFormat="false" ht="12.8" hidden="false" customHeight="false" outlineLevel="0" collapsed="false"/>
    <row r="96" customFormat="false" ht="12.8" hidden="false" customHeight="false" outlineLevel="0" collapsed="false"/>
    <row r="97" customFormat="false" ht="12.8" hidden="false" customHeight="false" outlineLevel="0" collapsed="false"/>
    <row r="98" customFormat="false" ht="12.8" hidden="false" customHeight="false" outlineLevel="0" collapsed="false"/>
    <row r="99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4:I4"/>
  <mergeCells count="1">
    <mergeCell ref="A2:I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Roman,Звичайний"&amp;12Страница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2.75" zeroHeight="false" outlineLevelRow="0" outlineLevelCol="0"/>
  <cols>
    <col collapsed="false" customWidth="true" hidden="false" outlineLevel="0" max="1" min="1" style="0" width="10.77"/>
    <col collapsed="false" customWidth="true" hidden="false" outlineLevel="0" max="2" min="2" style="0" width="21.86"/>
    <col collapsed="false" customWidth="true" hidden="false" outlineLevel="0" max="3" min="3" style="0" width="39.57"/>
    <col collapsed="false" customWidth="true" hidden="false" outlineLevel="0" max="4" min="4" style="0" width="31.86"/>
    <col collapsed="false" customWidth="true" hidden="false" outlineLevel="0" max="5" min="5" style="0" width="23.88"/>
    <col collapsed="false" customWidth="true" hidden="false" outlineLevel="0" max="6" min="6" style="0" width="11.11"/>
    <col collapsed="false" customWidth="true" hidden="false" outlineLevel="0" max="7" min="7" style="0" width="28.86"/>
    <col collapsed="false" customWidth="true" hidden="false" outlineLevel="0" max="8" min="8" style="0" width="15.62"/>
    <col collapsed="false" customWidth="true" hidden="false" outlineLevel="0" max="9" min="9" style="0" width="16.33"/>
    <col collapsed="false" customWidth="true" hidden="false" outlineLevel="0" max="1025" min="10" style="0" width="8.67"/>
  </cols>
  <sheetData>
    <row r="1" customFormat="false" ht="23.4" hidden="false" customHeight="true" outlineLevel="0" collapsed="false">
      <c r="A1" s="4"/>
      <c r="B1" s="4"/>
      <c r="C1" s="4"/>
      <c r="D1" s="4"/>
      <c r="E1" s="4"/>
      <c r="F1" s="4"/>
      <c r="G1" s="4"/>
      <c r="H1" s="23"/>
      <c r="I1" s="4"/>
    </row>
    <row r="2" customFormat="false" ht="24.35" hidden="false" customHeight="true" outlineLevel="0" collapsed="false">
      <c r="A2" s="24" t="s">
        <v>331</v>
      </c>
      <c r="B2" s="24"/>
      <c r="C2" s="24"/>
      <c r="D2" s="24"/>
      <c r="E2" s="24"/>
      <c r="F2" s="24"/>
      <c r="G2" s="24"/>
      <c r="H2" s="24"/>
      <c r="I2" s="24"/>
    </row>
    <row r="3" customFormat="false" ht="24.35" hidden="false" customHeight="true" outlineLevel="0" collapsed="false">
      <c r="A3" s="4"/>
      <c r="B3" s="4"/>
      <c r="C3" s="4"/>
      <c r="D3" s="4"/>
      <c r="E3" s="4"/>
      <c r="F3" s="4"/>
      <c r="G3" s="4"/>
      <c r="H3" s="23"/>
      <c r="I3" s="4"/>
    </row>
    <row r="4" customFormat="false" ht="35.6" hidden="false" customHeight="true" outlineLevel="0" collapsed="false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23" t="s">
        <v>8</v>
      </c>
      <c r="I4" s="4" t="s">
        <v>9</v>
      </c>
    </row>
    <row r="5" customFormat="false" ht="32.8" hidden="false" customHeight="false" outlineLevel="0" collapsed="false">
      <c r="A5" s="25" t="n">
        <v>44384</v>
      </c>
      <c r="B5" s="17" t="str">
        <f aca="false">HYPERLINK("https://my.zakupki.prom.ua/remote/dispatcher/state_purchase_view/28032831", "UA-2021-07-07-003993-c")</f>
        <v>UA-2021-07-07-003993-c</v>
      </c>
      <c r="C5" s="18" t="s">
        <v>332</v>
      </c>
      <c r="D5" s="18" t="s">
        <v>333</v>
      </c>
      <c r="E5" s="18" t="s">
        <v>12</v>
      </c>
      <c r="F5" s="26" t="n">
        <v>4052212</v>
      </c>
      <c r="G5" s="18" t="s">
        <v>47</v>
      </c>
      <c r="H5" s="20" t="s">
        <v>48</v>
      </c>
      <c r="I5" s="21" t="n">
        <v>8500</v>
      </c>
    </row>
    <row r="6" customFormat="false" ht="32.8" hidden="false" customHeight="false" outlineLevel="0" collapsed="false">
      <c r="A6" s="25" t="n">
        <v>44389</v>
      </c>
      <c r="B6" s="17" t="str">
        <f aca="false">HYPERLINK("https://my.zakupki.prom.ua/remote/dispatcher/state_purchase_view/28136713", "UA-2021-07-12-000799-c")</f>
        <v>UA-2021-07-12-000799-c</v>
      </c>
      <c r="C6" s="18" t="s">
        <v>334</v>
      </c>
      <c r="D6" s="18" t="s">
        <v>335</v>
      </c>
      <c r="E6" s="18" t="s">
        <v>12</v>
      </c>
      <c r="F6" s="26" t="n">
        <v>4052212</v>
      </c>
      <c r="G6" s="18" t="s">
        <v>336</v>
      </c>
      <c r="H6" s="20" t="s">
        <v>337</v>
      </c>
      <c r="I6" s="21" t="n">
        <v>1600</v>
      </c>
    </row>
    <row r="7" customFormat="false" ht="32.8" hidden="false" customHeight="false" outlineLevel="0" collapsed="false">
      <c r="A7" s="25" t="n">
        <v>44397</v>
      </c>
      <c r="B7" s="17" t="str">
        <f aca="false">HYPERLINK("https://my.zakupki.prom.ua/remote/dispatcher/state_purchase_view/28367307", "UA-2021-07-20-005530-b")</f>
        <v>UA-2021-07-20-005530-b</v>
      </c>
      <c r="C7" s="18" t="s">
        <v>338</v>
      </c>
      <c r="D7" s="18" t="s">
        <v>34</v>
      </c>
      <c r="E7" s="18" t="s">
        <v>12</v>
      </c>
      <c r="F7" s="26" t="n">
        <v>4052212</v>
      </c>
      <c r="G7" s="18" t="s">
        <v>99</v>
      </c>
      <c r="H7" s="20" t="s">
        <v>100</v>
      </c>
      <c r="I7" s="21" t="n">
        <v>275</v>
      </c>
    </row>
    <row r="8" customFormat="false" ht="32.8" hidden="false" customHeight="false" outlineLevel="0" collapsed="false">
      <c r="A8" s="25" t="n">
        <v>44418</v>
      </c>
      <c r="B8" s="17" t="str">
        <f aca="false">HYPERLINK("https://my.zakupki.prom.ua/remote/dispatcher/state_purchase_view/28880625", "UA-2021-08-10-002511-a")</f>
        <v>UA-2021-08-10-002511-a</v>
      </c>
      <c r="C8" s="18" t="s">
        <v>25</v>
      </c>
      <c r="D8" s="18" t="s">
        <v>105</v>
      </c>
      <c r="E8" s="18" t="s">
        <v>12</v>
      </c>
      <c r="F8" s="26" t="n">
        <v>4052212</v>
      </c>
      <c r="G8" s="18" t="s">
        <v>27</v>
      </c>
      <c r="H8" s="20" t="s">
        <v>28</v>
      </c>
      <c r="I8" s="21" t="n">
        <v>104</v>
      </c>
    </row>
    <row r="9" customFormat="false" ht="32.8" hidden="false" customHeight="false" outlineLevel="0" collapsed="false">
      <c r="A9" s="25" t="n">
        <v>44406</v>
      </c>
      <c r="B9" s="17" t="str">
        <f aca="false">HYPERLINK("https://my.zakupki.prom.ua/remote/dispatcher/state_purchase_view/28593760", "UA-2021-07-29-000254-b")</f>
        <v>UA-2021-07-29-000254-b</v>
      </c>
      <c r="C9" s="18" t="s">
        <v>339</v>
      </c>
      <c r="D9" s="18" t="s">
        <v>340</v>
      </c>
      <c r="E9" s="18" t="s">
        <v>12</v>
      </c>
      <c r="F9" s="26" t="n">
        <v>4052212</v>
      </c>
      <c r="G9" s="18" t="s">
        <v>341</v>
      </c>
      <c r="H9" s="20" t="s">
        <v>342</v>
      </c>
      <c r="I9" s="21" t="n">
        <v>10200</v>
      </c>
    </row>
    <row r="10" customFormat="false" ht="32.8" hidden="false" customHeight="false" outlineLevel="0" collapsed="false">
      <c r="A10" s="25" t="n">
        <v>44425</v>
      </c>
      <c r="B10" s="17" t="str">
        <f aca="false">HYPERLINK("https://my.zakupki.prom.ua/remote/dispatcher/state_purchase_view/29082054", "UA-2021-08-17-004002-a")</f>
        <v>UA-2021-08-17-004002-a</v>
      </c>
      <c r="C10" s="18" t="s">
        <v>152</v>
      </c>
      <c r="D10" s="18" t="s">
        <v>16</v>
      </c>
      <c r="E10" s="18" t="s">
        <v>12</v>
      </c>
      <c r="F10" s="26" t="n">
        <v>4052212</v>
      </c>
      <c r="G10" s="18" t="s">
        <v>14</v>
      </c>
      <c r="H10" s="20" t="s">
        <v>15</v>
      </c>
      <c r="I10" s="21" t="n">
        <v>2202</v>
      </c>
    </row>
    <row r="11" customFormat="false" ht="32.8" hidden="false" customHeight="false" outlineLevel="0" collapsed="false">
      <c r="A11" s="25" t="n">
        <v>44425</v>
      </c>
      <c r="B11" s="17" t="str">
        <f aca="false">HYPERLINK("https://my.zakupki.prom.ua/remote/dispatcher/state_purchase_view/29077682", "UA-2021-08-17-002716-a")</f>
        <v>UA-2021-08-17-002716-a</v>
      </c>
      <c r="C11" s="18" t="s">
        <v>343</v>
      </c>
      <c r="D11" s="18" t="s">
        <v>200</v>
      </c>
      <c r="E11" s="18" t="s">
        <v>12</v>
      </c>
      <c r="F11" s="26" t="n">
        <v>4052212</v>
      </c>
      <c r="G11" s="18" t="s">
        <v>23</v>
      </c>
      <c r="H11" s="20" t="s">
        <v>24</v>
      </c>
      <c r="I11" s="21" t="n">
        <v>6099</v>
      </c>
    </row>
    <row r="12" customFormat="false" ht="32.8" hidden="false" customHeight="false" outlineLevel="0" collapsed="false">
      <c r="A12" s="25" t="n">
        <v>44428</v>
      </c>
      <c r="B12" s="17" t="str">
        <f aca="false">HYPERLINK("https://my.zakupki.prom.ua/remote/dispatcher/state_purchase_view/29216511", "UA-2021-08-20-008514-a")</f>
        <v>UA-2021-08-20-008514-a</v>
      </c>
      <c r="C12" s="18" t="s">
        <v>126</v>
      </c>
      <c r="D12" s="18" t="s">
        <v>53</v>
      </c>
      <c r="E12" s="18" t="s">
        <v>12</v>
      </c>
      <c r="F12" s="26" t="n">
        <v>4052212</v>
      </c>
      <c r="G12" s="18" t="s">
        <v>217</v>
      </c>
      <c r="H12" s="20" t="s">
        <v>208</v>
      </c>
      <c r="I12" s="21" t="n">
        <v>673</v>
      </c>
    </row>
    <row r="13" customFormat="false" ht="43.1" hidden="false" customHeight="false" outlineLevel="0" collapsed="false">
      <c r="A13" s="25" t="n">
        <v>44441</v>
      </c>
      <c r="B13" s="17" t="str">
        <f aca="false">HYPERLINK("https://my.zakupki.prom.ua/remote/dispatcher/state_purchase_view/29491551", "UA-2021-09-02-009299-a")</f>
        <v>UA-2021-09-02-009299-a</v>
      </c>
      <c r="C13" s="18" t="s">
        <v>288</v>
      </c>
      <c r="D13" s="18" t="s">
        <v>289</v>
      </c>
      <c r="E13" s="18" t="s">
        <v>12</v>
      </c>
      <c r="F13" s="26" t="n">
        <v>4052212</v>
      </c>
      <c r="G13" s="18" t="s">
        <v>290</v>
      </c>
      <c r="H13" s="20" t="s">
        <v>291</v>
      </c>
      <c r="I13" s="21" t="n">
        <v>24208</v>
      </c>
    </row>
    <row r="14" customFormat="false" ht="32.8" hidden="false" customHeight="false" outlineLevel="0" collapsed="false">
      <c r="A14" s="25" t="n">
        <v>44462</v>
      </c>
      <c r="B14" s="17" t="str">
        <f aca="false">HYPERLINK("https://my.zakupki.prom.ua/remote/dispatcher/state_purchase_view/30144855", "UA-2021-09-23-001618-b")</f>
        <v>UA-2021-09-23-001618-b</v>
      </c>
      <c r="C14" s="18" t="s">
        <v>344</v>
      </c>
      <c r="D14" s="18" t="s">
        <v>345</v>
      </c>
      <c r="E14" s="18" t="s">
        <v>12</v>
      </c>
      <c r="F14" s="26" t="n">
        <v>4052212</v>
      </c>
      <c r="G14" s="18" t="s">
        <v>91</v>
      </c>
      <c r="H14" s="20" t="s">
        <v>92</v>
      </c>
      <c r="I14" s="21" t="n">
        <v>621</v>
      </c>
    </row>
    <row r="15" customFormat="false" ht="32.8" hidden="false" customHeight="false" outlineLevel="0" collapsed="false">
      <c r="A15" s="25" t="n">
        <v>44463</v>
      </c>
      <c r="B15" s="17" t="str">
        <f aca="false">HYPERLINK("https://my.zakupki.prom.ua/remote/dispatcher/state_purchase_view/30223208", "UA-2021-09-24-009999-b")</f>
        <v>UA-2021-09-24-009999-b</v>
      </c>
      <c r="C15" s="18" t="s">
        <v>262</v>
      </c>
      <c r="D15" s="18" t="s">
        <v>263</v>
      </c>
      <c r="E15" s="18" t="s">
        <v>12</v>
      </c>
      <c r="F15" s="26" t="n">
        <v>4052212</v>
      </c>
      <c r="G15" s="18" t="s">
        <v>346</v>
      </c>
      <c r="H15" s="20" t="s">
        <v>265</v>
      </c>
      <c r="I15" s="21" t="n">
        <v>6460</v>
      </c>
    </row>
    <row r="16" customFormat="false" ht="43.1" hidden="false" customHeight="false" outlineLevel="0" collapsed="false">
      <c r="A16" s="25" t="n">
        <v>44463</v>
      </c>
      <c r="B16" s="17" t="str">
        <f aca="false">HYPERLINK("https://my.zakupki.prom.ua/remote/dispatcher/state_purchase_view/30225389", "UA-2021-09-24-010639-b")</f>
        <v>UA-2021-09-24-010639-b</v>
      </c>
      <c r="C16" s="18" t="s">
        <v>347</v>
      </c>
      <c r="D16" s="18" t="s">
        <v>193</v>
      </c>
      <c r="E16" s="18" t="s">
        <v>12</v>
      </c>
      <c r="F16" s="26" t="n">
        <v>4052212</v>
      </c>
      <c r="G16" s="18" t="s">
        <v>348</v>
      </c>
      <c r="H16" s="20" t="s">
        <v>349</v>
      </c>
      <c r="I16" s="21" t="n">
        <v>715</v>
      </c>
    </row>
    <row r="17" customFormat="false" ht="32.8" hidden="false" customHeight="false" outlineLevel="0" collapsed="false">
      <c r="A17" s="25" t="n">
        <v>44468</v>
      </c>
      <c r="B17" s="17" t="str">
        <f aca="false">HYPERLINK("https://my.zakupki.prom.ua/remote/dispatcher/state_purchase_view/30335237", "UA-2021-09-29-003455-b")</f>
        <v>UA-2021-09-29-003455-b</v>
      </c>
      <c r="C17" s="18" t="s">
        <v>350</v>
      </c>
      <c r="D17" s="18" t="s">
        <v>34</v>
      </c>
      <c r="E17" s="18" t="s">
        <v>12</v>
      </c>
      <c r="F17" s="26" t="n">
        <v>4052212</v>
      </c>
      <c r="G17" s="18" t="s">
        <v>351</v>
      </c>
      <c r="H17" s="20" t="s">
        <v>352</v>
      </c>
      <c r="I17" s="21" t="n">
        <v>1800</v>
      </c>
    </row>
    <row r="18" customFormat="false" ht="135.9" hidden="false" customHeight="false" outlineLevel="0" collapsed="false">
      <c r="A18" s="25" t="n">
        <v>44467</v>
      </c>
      <c r="B18" s="17" t="str">
        <f aca="false">HYPERLINK("https://my.zakupki.prom.ua/remote/dispatcher/state_purchase_view/30316803", "UA-2021-09-28-010231-b")</f>
        <v>UA-2021-09-28-010231-b</v>
      </c>
      <c r="C18" s="18" t="s">
        <v>353</v>
      </c>
      <c r="D18" s="18" t="s">
        <v>354</v>
      </c>
      <c r="E18" s="18" t="s">
        <v>12</v>
      </c>
      <c r="F18" s="26" t="n">
        <v>4052212</v>
      </c>
      <c r="G18" s="18" t="s">
        <v>355</v>
      </c>
      <c r="H18" s="20" t="s">
        <v>356</v>
      </c>
      <c r="I18" s="21" t="n">
        <v>34500</v>
      </c>
    </row>
    <row r="19" customFormat="false" ht="32.8" hidden="false" customHeight="false" outlineLevel="0" collapsed="false">
      <c r="A19" s="25" t="n">
        <v>44428</v>
      </c>
      <c r="B19" s="17" t="str">
        <f aca="false">HYPERLINK("https://my.zakupki.prom.ua/remote/dispatcher/state_purchase_view/29218006", "UA-2021-08-20-008948-a")</f>
        <v>UA-2021-08-20-008948-a</v>
      </c>
      <c r="C19" s="18" t="s">
        <v>126</v>
      </c>
      <c r="D19" s="18" t="s">
        <v>292</v>
      </c>
      <c r="E19" s="18" t="s">
        <v>12</v>
      </c>
      <c r="F19" s="26" t="n">
        <v>4052212</v>
      </c>
      <c r="G19" s="18" t="s">
        <v>217</v>
      </c>
      <c r="H19" s="20" t="s">
        <v>208</v>
      </c>
      <c r="I19" s="21" t="n">
        <v>954</v>
      </c>
    </row>
    <row r="20" customFormat="false" ht="32.8" hidden="false" customHeight="false" outlineLevel="0" collapsed="false">
      <c r="A20" s="25" t="n">
        <v>44435</v>
      </c>
      <c r="B20" s="17" t="str">
        <f aca="false">HYPERLINK("https://my.zakupki.prom.ua/remote/dispatcher/state_purchase_view/29312687", "UA-2021-08-27-004022-a")</f>
        <v>UA-2021-08-27-004022-a</v>
      </c>
      <c r="C20" s="18" t="s">
        <v>357</v>
      </c>
      <c r="D20" s="18" t="s">
        <v>358</v>
      </c>
      <c r="E20" s="18" t="s">
        <v>12</v>
      </c>
      <c r="F20" s="26" t="n">
        <v>4052212</v>
      </c>
      <c r="G20" s="18" t="s">
        <v>346</v>
      </c>
      <c r="H20" s="20" t="s">
        <v>265</v>
      </c>
      <c r="I20" s="21" t="n">
        <v>228</v>
      </c>
    </row>
    <row r="21" customFormat="false" ht="32.8" hidden="false" customHeight="false" outlineLevel="0" collapsed="false">
      <c r="A21" s="25" t="n">
        <v>44390</v>
      </c>
      <c r="B21" s="17" t="str">
        <f aca="false">HYPERLINK("https://my.zakupki.prom.ua/remote/dispatcher/state_purchase_view/28195245", "UA-2021-07-13-007211-c")</f>
        <v>UA-2021-07-13-007211-c</v>
      </c>
      <c r="C21" s="18" t="s">
        <v>359</v>
      </c>
      <c r="D21" s="18" t="s">
        <v>360</v>
      </c>
      <c r="E21" s="18" t="s">
        <v>12</v>
      </c>
      <c r="F21" s="26" t="n">
        <v>4052212</v>
      </c>
      <c r="G21" s="18" t="s">
        <v>23</v>
      </c>
      <c r="H21" s="20" t="s">
        <v>24</v>
      </c>
      <c r="I21" s="21" t="n">
        <v>5759</v>
      </c>
    </row>
    <row r="22" customFormat="false" ht="32.8" hidden="false" customHeight="false" outlineLevel="0" collapsed="false">
      <c r="A22" s="25" t="n">
        <v>44418</v>
      </c>
      <c r="B22" s="17" t="str">
        <f aca="false">HYPERLINK("https://my.zakupki.prom.ua/remote/dispatcher/state_purchase_view/28907608", "UA-2021-08-10-011772-a")</f>
        <v>UA-2021-08-10-011772-a</v>
      </c>
      <c r="C22" s="18" t="s">
        <v>25</v>
      </c>
      <c r="D22" s="18" t="s">
        <v>133</v>
      </c>
      <c r="E22" s="18" t="s">
        <v>12</v>
      </c>
      <c r="F22" s="26" t="n">
        <v>4052212</v>
      </c>
      <c r="G22" s="18" t="s">
        <v>27</v>
      </c>
      <c r="H22" s="20" t="s">
        <v>28</v>
      </c>
      <c r="I22" s="21" t="n">
        <v>315.5</v>
      </c>
    </row>
    <row r="23" customFormat="false" ht="32.8" hidden="false" customHeight="false" outlineLevel="0" collapsed="false">
      <c r="A23" s="25" t="n">
        <v>44418</v>
      </c>
      <c r="B23" s="17" t="str">
        <f aca="false">HYPERLINK("https://my.zakupki.prom.ua/remote/dispatcher/state_purchase_view/28876859", "UA-2021-08-10-001226-a")</f>
        <v>UA-2021-08-10-001226-a</v>
      </c>
      <c r="C23" s="18" t="s">
        <v>25</v>
      </c>
      <c r="D23" s="18" t="s">
        <v>220</v>
      </c>
      <c r="E23" s="18" t="s">
        <v>12</v>
      </c>
      <c r="F23" s="26" t="n">
        <v>4052212</v>
      </c>
      <c r="G23" s="18" t="s">
        <v>27</v>
      </c>
      <c r="H23" s="20" t="s">
        <v>28</v>
      </c>
      <c r="I23" s="21" t="n">
        <v>62</v>
      </c>
    </row>
    <row r="24" customFormat="false" ht="32.8" hidden="false" customHeight="false" outlineLevel="0" collapsed="false">
      <c r="A24" s="25" t="n">
        <v>44418</v>
      </c>
      <c r="B24" s="17" t="str">
        <f aca="false">HYPERLINK("https://my.zakupki.prom.ua/remote/dispatcher/state_purchase_view/28881427", "UA-2021-08-10-002795-a")</f>
        <v>UA-2021-08-10-002795-a</v>
      </c>
      <c r="C24" s="18" t="s">
        <v>25</v>
      </c>
      <c r="D24" s="18" t="s">
        <v>125</v>
      </c>
      <c r="E24" s="18" t="s">
        <v>12</v>
      </c>
      <c r="F24" s="26" t="n">
        <v>4052212</v>
      </c>
      <c r="G24" s="18" t="s">
        <v>27</v>
      </c>
      <c r="H24" s="20" t="s">
        <v>28</v>
      </c>
      <c r="I24" s="21" t="n">
        <v>169.5</v>
      </c>
    </row>
    <row r="25" customFormat="false" ht="32.8" hidden="false" customHeight="false" outlineLevel="0" collapsed="false">
      <c r="A25" s="25" t="n">
        <v>44441</v>
      </c>
      <c r="B25" s="17" t="str">
        <f aca="false">HYPERLINK("https://my.zakupki.prom.ua/remote/dispatcher/state_purchase_view/29473242", "UA-2021-09-02-003746-a")</f>
        <v>UA-2021-09-02-003746-a</v>
      </c>
      <c r="C25" s="18" t="s">
        <v>361</v>
      </c>
      <c r="D25" s="18" t="s">
        <v>232</v>
      </c>
      <c r="E25" s="18" t="s">
        <v>12</v>
      </c>
      <c r="F25" s="26" t="n">
        <v>4052212</v>
      </c>
      <c r="G25" s="18" t="s">
        <v>362</v>
      </c>
      <c r="H25" s="20" t="s">
        <v>363</v>
      </c>
      <c r="I25" s="21" t="n">
        <v>20625</v>
      </c>
    </row>
    <row r="26" customFormat="false" ht="32.8" hidden="false" customHeight="false" outlineLevel="0" collapsed="false">
      <c r="A26" s="25" t="n">
        <v>44447</v>
      </c>
      <c r="B26" s="17" t="str">
        <f aca="false">HYPERLINK("https://my.zakupki.prom.ua/remote/dispatcher/state_purchase_view/29651740", "UA-2021-09-08-006100-c")</f>
        <v>UA-2021-09-08-006100-c</v>
      </c>
      <c r="C26" s="18" t="s">
        <v>158</v>
      </c>
      <c r="D26" s="18" t="s">
        <v>159</v>
      </c>
      <c r="E26" s="18" t="s">
        <v>12</v>
      </c>
      <c r="F26" s="26" t="n">
        <v>4052212</v>
      </c>
      <c r="G26" s="18" t="s">
        <v>364</v>
      </c>
      <c r="H26" s="20" t="s">
        <v>161</v>
      </c>
      <c r="I26" s="21" t="n">
        <v>430</v>
      </c>
    </row>
    <row r="27" customFormat="false" ht="32.8" hidden="false" customHeight="false" outlineLevel="0" collapsed="false">
      <c r="A27" s="25" t="n">
        <v>44448</v>
      </c>
      <c r="B27" s="17" t="str">
        <f aca="false">HYPERLINK("https://my.zakupki.prom.ua/remote/dispatcher/state_purchase_view/29717830", "UA-2021-09-09-012020-c")</f>
        <v>UA-2021-09-09-012020-c</v>
      </c>
      <c r="C27" s="18" t="s">
        <v>365</v>
      </c>
      <c r="D27" s="18" t="s">
        <v>366</v>
      </c>
      <c r="E27" s="18" t="s">
        <v>12</v>
      </c>
      <c r="F27" s="26" t="n">
        <v>4052212</v>
      </c>
      <c r="G27" s="18" t="s">
        <v>348</v>
      </c>
      <c r="H27" s="20" t="s">
        <v>349</v>
      </c>
      <c r="I27" s="21" t="n">
        <v>190</v>
      </c>
    </row>
    <row r="28" customFormat="false" ht="32.8" hidden="false" customHeight="false" outlineLevel="0" collapsed="false">
      <c r="A28" s="25" t="n">
        <v>44446</v>
      </c>
      <c r="B28" s="17" t="str">
        <f aca="false">HYPERLINK("https://my.zakupki.prom.ua/remote/dispatcher/state_purchase_view/29617117", "UA-2021-09-07-008625-c")</f>
        <v>UA-2021-09-07-008625-c</v>
      </c>
      <c r="C28" s="18" t="s">
        <v>367</v>
      </c>
      <c r="D28" s="18" t="s">
        <v>368</v>
      </c>
      <c r="E28" s="18" t="s">
        <v>12</v>
      </c>
      <c r="F28" s="26" t="n">
        <v>4052212</v>
      </c>
      <c r="G28" s="18" t="s">
        <v>369</v>
      </c>
      <c r="H28" s="20" t="s">
        <v>370</v>
      </c>
      <c r="I28" s="21" t="n">
        <v>46200</v>
      </c>
    </row>
    <row r="29" customFormat="false" ht="32.8" hidden="false" customHeight="false" outlineLevel="0" collapsed="false">
      <c r="A29" s="25" t="n">
        <v>44390</v>
      </c>
      <c r="B29" s="17" t="str">
        <f aca="false">HYPERLINK("https://my.zakupki.prom.ua/remote/dispatcher/state_purchase_view/28199352", "UA-2021-07-13-008373-c")</f>
        <v>UA-2021-07-13-008373-c</v>
      </c>
      <c r="C29" s="18" t="s">
        <v>371</v>
      </c>
      <c r="D29" s="18" t="s">
        <v>200</v>
      </c>
      <c r="E29" s="18" t="s">
        <v>12</v>
      </c>
      <c r="F29" s="26" t="n">
        <v>4052212</v>
      </c>
      <c r="G29" s="18" t="s">
        <v>23</v>
      </c>
      <c r="H29" s="20" t="s">
        <v>24</v>
      </c>
      <c r="I29" s="21" t="n">
        <v>21657</v>
      </c>
    </row>
    <row r="30" customFormat="false" ht="32.8" hidden="false" customHeight="false" outlineLevel="0" collapsed="false">
      <c r="A30" s="25" t="n">
        <v>44418</v>
      </c>
      <c r="B30" s="17" t="str">
        <f aca="false">HYPERLINK("https://my.zakupki.prom.ua/remote/dispatcher/state_purchase_view/28879690", "UA-2021-08-10-002200-a")</f>
        <v>UA-2021-08-10-002200-a</v>
      </c>
      <c r="C30" s="18" t="s">
        <v>25</v>
      </c>
      <c r="D30" s="18" t="s">
        <v>26</v>
      </c>
      <c r="E30" s="18" t="s">
        <v>12</v>
      </c>
      <c r="F30" s="26" t="n">
        <v>4052212</v>
      </c>
      <c r="G30" s="18" t="s">
        <v>27</v>
      </c>
      <c r="H30" s="20" t="s">
        <v>28</v>
      </c>
      <c r="I30" s="21" t="n">
        <v>54.9</v>
      </c>
    </row>
    <row r="31" customFormat="false" ht="32.8" hidden="false" customHeight="false" outlineLevel="0" collapsed="false">
      <c r="A31" s="25" t="n">
        <v>44449</v>
      </c>
      <c r="B31" s="17" t="str">
        <f aca="false">HYPERLINK("https://my.zakupki.prom.ua/remote/dispatcher/state_purchase_view/29758299", "UA-2021-09-10-010239-c")</f>
        <v>UA-2021-09-10-010239-c</v>
      </c>
      <c r="C31" s="18" t="s">
        <v>262</v>
      </c>
      <c r="D31" s="18" t="s">
        <v>263</v>
      </c>
      <c r="E31" s="18" t="s">
        <v>12</v>
      </c>
      <c r="F31" s="26" t="n">
        <v>4052212</v>
      </c>
      <c r="G31" s="18" t="s">
        <v>346</v>
      </c>
      <c r="H31" s="20" t="s">
        <v>265</v>
      </c>
      <c r="I31" s="21" t="n">
        <v>2146.5</v>
      </c>
    </row>
    <row r="32" customFormat="false" ht="32.8" hidden="false" customHeight="false" outlineLevel="0" collapsed="false">
      <c r="A32" s="25" t="n">
        <v>44449</v>
      </c>
      <c r="B32" s="17" t="str">
        <f aca="false">HYPERLINK("https://my.zakupki.prom.ua/remote/dispatcher/state_purchase_view/29756364", "UA-2021-09-10-009684-c")</f>
        <v>UA-2021-09-10-009684-c</v>
      </c>
      <c r="C32" s="18" t="s">
        <v>365</v>
      </c>
      <c r="D32" s="18" t="s">
        <v>366</v>
      </c>
      <c r="E32" s="18" t="s">
        <v>12</v>
      </c>
      <c r="F32" s="26" t="n">
        <v>4052212</v>
      </c>
      <c r="G32" s="18" t="s">
        <v>348</v>
      </c>
      <c r="H32" s="20" t="s">
        <v>349</v>
      </c>
      <c r="I32" s="21" t="n">
        <v>532</v>
      </c>
    </row>
    <row r="33" customFormat="false" ht="43.1" hidden="false" customHeight="false" outlineLevel="0" collapsed="false">
      <c r="A33" s="25" t="n">
        <v>44466</v>
      </c>
      <c r="B33" s="17" t="str">
        <f aca="false">HYPERLINK("https://my.zakupki.prom.ua/remote/dispatcher/state_purchase_view/30258696", "UA-2021-09-27-006188-b")</f>
        <v>UA-2021-09-27-006188-b</v>
      </c>
      <c r="C33" s="18" t="s">
        <v>372</v>
      </c>
      <c r="D33" s="18" t="s">
        <v>193</v>
      </c>
      <c r="E33" s="18" t="s">
        <v>12</v>
      </c>
      <c r="F33" s="26" t="n">
        <v>4052212</v>
      </c>
      <c r="G33" s="18" t="s">
        <v>35</v>
      </c>
      <c r="H33" s="20" t="s">
        <v>36</v>
      </c>
      <c r="I33" s="21" t="n">
        <v>801</v>
      </c>
    </row>
    <row r="34" customFormat="false" ht="32.8" hidden="false" customHeight="false" outlineLevel="0" collapsed="false">
      <c r="A34" s="25" t="n">
        <v>44468</v>
      </c>
      <c r="B34" s="17" t="str">
        <f aca="false">HYPERLINK("https://my.zakupki.prom.ua/remote/dispatcher/state_purchase_view/30334829", "UA-2021-09-29-003348-b")</f>
        <v>UA-2021-09-29-003348-b</v>
      </c>
      <c r="C34" s="18" t="s">
        <v>350</v>
      </c>
      <c r="D34" s="18" t="s">
        <v>366</v>
      </c>
      <c r="E34" s="18" t="s">
        <v>12</v>
      </c>
      <c r="F34" s="26" t="n">
        <v>4052212</v>
      </c>
      <c r="G34" s="18" t="s">
        <v>351</v>
      </c>
      <c r="H34" s="20" t="s">
        <v>352</v>
      </c>
      <c r="I34" s="21" t="n">
        <v>3800</v>
      </c>
    </row>
    <row r="35" customFormat="false" ht="32.8" hidden="false" customHeight="false" outlineLevel="0" collapsed="false">
      <c r="A35" s="25" t="n">
        <v>44425</v>
      </c>
      <c r="B35" s="17" t="str">
        <f aca="false">HYPERLINK("https://my.zakupki.prom.ua/remote/dispatcher/state_purchase_view/29079813", "UA-2021-08-17-003415-a")</f>
        <v>UA-2021-08-17-003415-a</v>
      </c>
      <c r="C35" s="18" t="s">
        <v>373</v>
      </c>
      <c r="D35" s="18" t="s">
        <v>374</v>
      </c>
      <c r="E35" s="18" t="s">
        <v>12</v>
      </c>
      <c r="F35" s="26" t="n">
        <v>4052212</v>
      </c>
      <c r="G35" s="18" t="s">
        <v>23</v>
      </c>
      <c r="H35" s="20" t="s">
        <v>24</v>
      </c>
      <c r="I35" s="21" t="n">
        <v>320.94</v>
      </c>
    </row>
    <row r="36" customFormat="false" ht="32.8" hidden="false" customHeight="false" outlineLevel="0" collapsed="false">
      <c r="A36" s="25" t="n">
        <v>44428</v>
      </c>
      <c r="B36" s="17" t="str">
        <f aca="false">HYPERLINK("https://my.zakupki.prom.ua/remote/dispatcher/state_purchase_view/29202920", "UA-2021-08-20-004551-a")</f>
        <v>UA-2021-08-20-004551-a</v>
      </c>
      <c r="C36" s="18" t="s">
        <v>126</v>
      </c>
      <c r="D36" s="18" t="s">
        <v>98</v>
      </c>
      <c r="E36" s="18" t="s">
        <v>12</v>
      </c>
      <c r="F36" s="26" t="n">
        <v>4052212</v>
      </c>
      <c r="G36" s="18" t="s">
        <v>217</v>
      </c>
      <c r="H36" s="20" t="s">
        <v>208</v>
      </c>
      <c r="I36" s="21" t="n">
        <v>1682</v>
      </c>
    </row>
    <row r="37" customFormat="false" ht="32.8" hidden="false" customHeight="false" outlineLevel="0" collapsed="false">
      <c r="A37" s="25" t="n">
        <v>44428</v>
      </c>
      <c r="B37" s="17" t="str">
        <f aca="false">HYPERLINK("https://my.zakupki.prom.ua/remote/dispatcher/state_purchase_view/29217194", "UA-2021-08-20-008711-a")</f>
        <v>UA-2021-08-20-008711-a</v>
      </c>
      <c r="C37" s="18" t="s">
        <v>126</v>
      </c>
      <c r="D37" s="18" t="s">
        <v>196</v>
      </c>
      <c r="E37" s="18" t="s">
        <v>12</v>
      </c>
      <c r="F37" s="26" t="n">
        <v>4052212</v>
      </c>
      <c r="G37" s="18" t="s">
        <v>217</v>
      </c>
      <c r="H37" s="20" t="s">
        <v>208</v>
      </c>
      <c r="I37" s="21" t="n">
        <v>612</v>
      </c>
    </row>
    <row r="38" customFormat="false" ht="53.4" hidden="false" customHeight="false" outlineLevel="0" collapsed="false">
      <c r="A38" s="25" t="n">
        <v>44462</v>
      </c>
      <c r="B38" s="17" t="str">
        <f aca="false">HYPERLINK("https://my.zakupki.prom.ua/remote/dispatcher/state_purchase_view/30145527", "UA-2021-09-23-001819-b")</f>
        <v>UA-2021-09-23-001819-b</v>
      </c>
      <c r="C38" s="18" t="s">
        <v>375</v>
      </c>
      <c r="D38" s="18" t="s">
        <v>345</v>
      </c>
      <c r="E38" s="18" t="s">
        <v>12</v>
      </c>
      <c r="F38" s="26" t="n">
        <v>4052212</v>
      </c>
      <c r="G38" s="18" t="s">
        <v>91</v>
      </c>
      <c r="H38" s="20" t="s">
        <v>92</v>
      </c>
      <c r="I38" s="21" t="n">
        <v>680</v>
      </c>
    </row>
    <row r="39" customFormat="false" ht="84.35" hidden="false" customHeight="false" outlineLevel="0" collapsed="false">
      <c r="A39" s="25" t="n">
        <v>44463</v>
      </c>
      <c r="B39" s="17" t="str">
        <f aca="false">HYPERLINK("https://my.zakupki.prom.ua/remote/dispatcher/state_purchase_view/30214659", "UA-2021-09-24-007387-b")</f>
        <v>UA-2021-09-24-007387-b</v>
      </c>
      <c r="C39" s="18" t="s">
        <v>376</v>
      </c>
      <c r="D39" s="18" t="s">
        <v>90</v>
      </c>
      <c r="E39" s="18" t="s">
        <v>12</v>
      </c>
      <c r="F39" s="26" t="n">
        <v>4052212</v>
      </c>
      <c r="G39" s="18" t="s">
        <v>91</v>
      </c>
      <c r="H39" s="20" t="s">
        <v>92</v>
      </c>
      <c r="I39" s="21" t="n">
        <v>1480</v>
      </c>
    </row>
    <row r="40" customFormat="false" ht="32.8" hidden="false" customHeight="false" outlineLevel="0" collapsed="false">
      <c r="A40" s="25" t="n">
        <v>44389</v>
      </c>
      <c r="B40" s="17" t="str">
        <f aca="false">HYPERLINK("https://my.zakupki.prom.ua/remote/dispatcher/state_purchase_view/28134641", "UA-2021-07-12-000207-c")</f>
        <v>UA-2021-07-12-000207-c</v>
      </c>
      <c r="C40" s="18" t="s">
        <v>377</v>
      </c>
      <c r="D40" s="18" t="s">
        <v>194</v>
      </c>
      <c r="E40" s="18" t="s">
        <v>12</v>
      </c>
      <c r="F40" s="26" t="n">
        <v>4052212</v>
      </c>
      <c r="G40" s="18" t="s">
        <v>23</v>
      </c>
      <c r="H40" s="20" t="s">
        <v>24</v>
      </c>
      <c r="I40" s="21" t="n">
        <v>1280</v>
      </c>
    </row>
    <row r="41" customFormat="false" ht="32.8" hidden="false" customHeight="false" outlineLevel="0" collapsed="false">
      <c r="A41" s="25" t="n">
        <v>44389</v>
      </c>
      <c r="B41" s="17" t="str">
        <f aca="false">HYPERLINK("https://my.zakupki.prom.ua/remote/dispatcher/state_purchase_view/28135144", "UA-2021-07-12-000352-c")</f>
        <v>UA-2021-07-12-000352-c</v>
      </c>
      <c r="C41" s="18" t="s">
        <v>377</v>
      </c>
      <c r="D41" s="18" t="s">
        <v>200</v>
      </c>
      <c r="E41" s="18" t="s">
        <v>12</v>
      </c>
      <c r="F41" s="26" t="n">
        <v>4052212</v>
      </c>
      <c r="G41" s="18" t="s">
        <v>23</v>
      </c>
      <c r="H41" s="20" t="s">
        <v>24</v>
      </c>
      <c r="I41" s="21" t="n">
        <v>700</v>
      </c>
    </row>
    <row r="42" customFormat="false" ht="32.8" hidden="false" customHeight="false" outlineLevel="0" collapsed="false">
      <c r="A42" s="25" t="n">
        <v>44449</v>
      </c>
      <c r="B42" s="17" t="str">
        <f aca="false">HYPERLINK("https://my.zakupki.prom.ua/remote/dispatcher/state_purchase_view/29757912", "UA-2021-09-10-010108-c")</f>
        <v>UA-2021-09-10-010108-c</v>
      </c>
      <c r="C42" s="18" t="s">
        <v>378</v>
      </c>
      <c r="D42" s="18" t="s">
        <v>34</v>
      </c>
      <c r="E42" s="18" t="s">
        <v>12</v>
      </c>
      <c r="F42" s="26" t="n">
        <v>4052212</v>
      </c>
      <c r="G42" s="18" t="s">
        <v>348</v>
      </c>
      <c r="H42" s="20" t="s">
        <v>349</v>
      </c>
      <c r="I42" s="21" t="n">
        <v>444</v>
      </c>
    </row>
    <row r="43" customFormat="false" ht="32.8" hidden="false" customHeight="false" outlineLevel="0" collapsed="false">
      <c r="A43" s="25" t="n">
        <v>44463</v>
      </c>
      <c r="B43" s="17" t="str">
        <f aca="false">HYPERLINK("https://my.zakupki.prom.ua/remote/dispatcher/state_purchase_view/30221699", "UA-2021-09-24-009527-b")</f>
        <v>UA-2021-09-24-009527-b</v>
      </c>
      <c r="C43" s="18" t="s">
        <v>379</v>
      </c>
      <c r="D43" s="18" t="s">
        <v>34</v>
      </c>
      <c r="E43" s="18" t="s">
        <v>12</v>
      </c>
      <c r="F43" s="26" t="n">
        <v>4052212</v>
      </c>
      <c r="G43" s="18" t="s">
        <v>35</v>
      </c>
      <c r="H43" s="20" t="s">
        <v>36</v>
      </c>
      <c r="I43" s="21" t="n">
        <v>1020</v>
      </c>
    </row>
    <row r="44" customFormat="false" ht="32.8" hidden="false" customHeight="false" outlineLevel="0" collapsed="false">
      <c r="A44" s="25" t="n">
        <v>44466</v>
      </c>
      <c r="B44" s="17" t="str">
        <f aca="false">HYPERLINK("https://my.zakupki.prom.ua/remote/dispatcher/state_purchase_view/30241673", "UA-2021-09-27-001621-b")</f>
        <v>UA-2021-09-27-001621-b</v>
      </c>
      <c r="C44" s="18" t="s">
        <v>152</v>
      </c>
      <c r="D44" s="18" t="s">
        <v>16</v>
      </c>
      <c r="E44" s="18" t="s">
        <v>12</v>
      </c>
      <c r="F44" s="26" t="n">
        <v>4052212</v>
      </c>
      <c r="G44" s="18" t="s">
        <v>14</v>
      </c>
      <c r="H44" s="20" t="s">
        <v>15</v>
      </c>
      <c r="I44" s="21" t="n">
        <v>1650</v>
      </c>
    </row>
    <row r="45" customFormat="false" ht="32.8" hidden="false" customHeight="false" outlineLevel="0" collapsed="false">
      <c r="A45" s="25" t="n">
        <v>44411</v>
      </c>
      <c r="B45" s="17" t="str">
        <f aca="false">HYPERLINK("https://my.zakupki.prom.ua/remote/dispatcher/state_purchase_view/28695224", "UA-2021-08-03-004581-b")</f>
        <v>UA-2021-08-03-004581-b</v>
      </c>
      <c r="C45" s="18" t="s">
        <v>380</v>
      </c>
      <c r="D45" s="18" t="s">
        <v>16</v>
      </c>
      <c r="E45" s="18" t="s">
        <v>12</v>
      </c>
      <c r="F45" s="26" t="n">
        <v>4052212</v>
      </c>
      <c r="G45" s="18" t="s">
        <v>381</v>
      </c>
      <c r="H45" s="20" t="s">
        <v>382</v>
      </c>
      <c r="I45" s="21" t="n">
        <v>1200</v>
      </c>
    </row>
    <row r="46" customFormat="false" ht="43.1" hidden="false" customHeight="false" outlineLevel="0" collapsed="false">
      <c r="A46" s="25" t="n">
        <v>44392</v>
      </c>
      <c r="B46" s="17" t="str">
        <f aca="false">HYPERLINK("https://my.zakupki.prom.ua/remote/dispatcher/state_purchase_view/28258743", "UA-2021-07-15-003601-b")</f>
        <v>UA-2021-07-15-003601-b</v>
      </c>
      <c r="C46" s="18" t="s">
        <v>383</v>
      </c>
      <c r="D46" s="18" t="s">
        <v>299</v>
      </c>
      <c r="E46" s="18" t="s">
        <v>12</v>
      </c>
      <c r="F46" s="26" t="n">
        <v>4052212</v>
      </c>
      <c r="G46" s="18" t="s">
        <v>355</v>
      </c>
      <c r="H46" s="20" t="s">
        <v>356</v>
      </c>
      <c r="I46" s="21" t="n">
        <v>25488</v>
      </c>
    </row>
    <row r="47" customFormat="false" ht="53.4" hidden="false" customHeight="false" outlineLevel="0" collapsed="false">
      <c r="A47" s="25" t="n">
        <v>44392</v>
      </c>
      <c r="B47" s="17" t="str">
        <f aca="false">HYPERLINK("https://my.zakupki.prom.ua/remote/dispatcher/state_purchase_view/28252256", "UA-2021-07-15-001872-b")</f>
        <v>UA-2021-07-15-001872-b</v>
      </c>
      <c r="C47" s="18" t="s">
        <v>384</v>
      </c>
      <c r="D47" s="18" t="s">
        <v>385</v>
      </c>
      <c r="E47" s="18" t="s">
        <v>12</v>
      </c>
      <c r="F47" s="26" t="n">
        <v>4052212</v>
      </c>
      <c r="G47" s="18" t="s">
        <v>355</v>
      </c>
      <c r="H47" s="20" t="s">
        <v>356</v>
      </c>
      <c r="I47" s="21" t="n">
        <v>30000</v>
      </c>
    </row>
    <row r="48" customFormat="false" ht="32.8" hidden="false" customHeight="false" outlineLevel="0" collapsed="false">
      <c r="A48" s="25" t="n">
        <v>44426</v>
      </c>
      <c r="B48" s="17" t="str">
        <f aca="false">HYPERLINK("https://my.zakupki.prom.ua/remote/dispatcher/state_purchase_view/29133116", "UA-2021-08-18-008969-a")</f>
        <v>UA-2021-08-18-008969-a</v>
      </c>
      <c r="C48" s="18" t="s">
        <v>386</v>
      </c>
      <c r="D48" s="18" t="s">
        <v>360</v>
      </c>
      <c r="E48" s="18" t="s">
        <v>12</v>
      </c>
      <c r="F48" s="26" t="n">
        <v>4052212</v>
      </c>
      <c r="G48" s="18" t="s">
        <v>387</v>
      </c>
      <c r="H48" s="20" t="s">
        <v>388</v>
      </c>
      <c r="I48" s="21" t="n">
        <v>7500</v>
      </c>
    </row>
    <row r="49" customFormat="false" ht="32.8" hidden="false" customHeight="false" outlineLevel="0" collapsed="false">
      <c r="A49" s="25" t="n">
        <v>44428</v>
      </c>
      <c r="B49" s="17" t="str">
        <f aca="false">HYPERLINK("https://my.zakupki.prom.ua/remote/dispatcher/state_purchase_view/29218889", "UA-2021-08-20-009168-a")</f>
        <v>UA-2021-08-20-009168-a</v>
      </c>
      <c r="C49" s="18" t="s">
        <v>126</v>
      </c>
      <c r="D49" s="18" t="s">
        <v>18</v>
      </c>
      <c r="E49" s="18" t="s">
        <v>12</v>
      </c>
      <c r="F49" s="26" t="n">
        <v>4052212</v>
      </c>
      <c r="G49" s="18" t="s">
        <v>217</v>
      </c>
      <c r="H49" s="20" t="s">
        <v>208</v>
      </c>
      <c r="I49" s="21" t="n">
        <v>324</v>
      </c>
    </row>
    <row r="50" customFormat="false" ht="32.8" hidden="false" customHeight="false" outlineLevel="0" collapsed="false">
      <c r="A50" s="25" t="n">
        <v>44455</v>
      </c>
      <c r="B50" s="17" t="str">
        <f aca="false">HYPERLINK("https://my.zakupki.prom.ua/remote/dispatcher/state_purchase_view/29910638", "UA-2021-09-16-002156-b")</f>
        <v>UA-2021-09-16-002156-b</v>
      </c>
      <c r="C50" s="18" t="s">
        <v>389</v>
      </c>
      <c r="D50" s="18" t="s">
        <v>125</v>
      </c>
      <c r="E50" s="18" t="s">
        <v>12</v>
      </c>
      <c r="F50" s="26" t="n">
        <v>4052212</v>
      </c>
      <c r="G50" s="18" t="s">
        <v>150</v>
      </c>
      <c r="H50" s="20" t="s">
        <v>151</v>
      </c>
      <c r="I50" s="21" t="n">
        <v>97</v>
      </c>
    </row>
    <row r="51" customFormat="false" ht="32.8" hidden="false" customHeight="false" outlineLevel="0" collapsed="false">
      <c r="A51" s="25" t="n">
        <v>44447</v>
      </c>
      <c r="B51" s="17" t="str">
        <f aca="false">HYPERLINK("https://my.zakupki.prom.ua/remote/dispatcher/state_purchase_view/29659567", "UA-2021-09-08-008454-c")</f>
        <v>UA-2021-09-08-008454-c</v>
      </c>
      <c r="C51" s="18" t="s">
        <v>390</v>
      </c>
      <c r="D51" s="18" t="s">
        <v>34</v>
      </c>
      <c r="E51" s="18" t="s">
        <v>12</v>
      </c>
      <c r="F51" s="26" t="n">
        <v>4052212</v>
      </c>
      <c r="G51" s="18" t="s">
        <v>286</v>
      </c>
      <c r="H51" s="20" t="s">
        <v>287</v>
      </c>
      <c r="I51" s="21" t="n">
        <v>600</v>
      </c>
    </row>
    <row r="52" customFormat="false" ht="43.1" hidden="false" customHeight="false" outlineLevel="0" collapsed="false">
      <c r="A52" s="25" t="n">
        <v>44427</v>
      </c>
      <c r="B52" s="17" t="str">
        <f aca="false">HYPERLINK("https://my.zakupki.prom.ua/remote/dispatcher/state_purchase_view/29144286", "UA-2021-08-19-000742-a")</f>
        <v>UA-2021-08-19-000742-a</v>
      </c>
      <c r="C52" s="18" t="s">
        <v>139</v>
      </c>
      <c r="D52" s="18" t="s">
        <v>200</v>
      </c>
      <c r="E52" s="18" t="s">
        <v>12</v>
      </c>
      <c r="F52" s="26" t="n">
        <v>4052212</v>
      </c>
      <c r="G52" s="18" t="s">
        <v>391</v>
      </c>
      <c r="H52" s="20" t="s">
        <v>392</v>
      </c>
      <c r="I52" s="21" t="n">
        <v>20980</v>
      </c>
    </row>
    <row r="53" customFormat="false" ht="32.8" hidden="false" customHeight="false" outlineLevel="0" collapsed="false">
      <c r="A53" s="25" t="n">
        <v>44410</v>
      </c>
      <c r="B53" s="17" t="str">
        <f aca="false">HYPERLINK("https://my.zakupki.prom.ua/remote/dispatcher/state_purchase_view/28674864", "UA-2021-08-02-009158-b")</f>
        <v>UA-2021-08-02-009158-b</v>
      </c>
      <c r="C53" s="18" t="s">
        <v>393</v>
      </c>
      <c r="D53" s="18" t="s">
        <v>102</v>
      </c>
      <c r="E53" s="18" t="s">
        <v>12</v>
      </c>
      <c r="F53" s="26" t="n">
        <v>4052212</v>
      </c>
      <c r="G53" s="18" t="s">
        <v>119</v>
      </c>
      <c r="H53" s="20" t="s">
        <v>120</v>
      </c>
      <c r="I53" s="21" t="n">
        <v>5800</v>
      </c>
    </row>
    <row r="54" customFormat="false" ht="32.8" hidden="false" customHeight="false" outlineLevel="0" collapsed="false">
      <c r="A54" s="25" t="n">
        <v>44396</v>
      </c>
      <c r="B54" s="17" t="str">
        <f aca="false">HYPERLINK("https://my.zakupki.prom.ua/remote/dispatcher/state_purchase_view/28318912", "UA-2021-07-19-001561-b")</f>
        <v>UA-2021-07-19-001561-b</v>
      </c>
      <c r="C54" s="18" t="s">
        <v>361</v>
      </c>
      <c r="D54" s="18" t="s">
        <v>232</v>
      </c>
      <c r="E54" s="18" t="s">
        <v>12</v>
      </c>
      <c r="F54" s="26" t="n">
        <v>4052212</v>
      </c>
      <c r="G54" s="18" t="s">
        <v>362</v>
      </c>
      <c r="H54" s="20" t="s">
        <v>363</v>
      </c>
      <c r="I54" s="21" t="n">
        <v>9975</v>
      </c>
    </row>
    <row r="55" customFormat="false" ht="32.8" hidden="false" customHeight="false" outlineLevel="0" collapsed="false">
      <c r="A55" s="25" t="n">
        <v>44418</v>
      </c>
      <c r="B55" s="17" t="str">
        <f aca="false">HYPERLINK("https://my.zakupki.prom.ua/remote/dispatcher/state_purchase_view/28907928", "UA-2021-08-10-011872-a")</f>
        <v>UA-2021-08-10-011872-a</v>
      </c>
      <c r="C55" s="18" t="s">
        <v>25</v>
      </c>
      <c r="D55" s="18" t="s">
        <v>195</v>
      </c>
      <c r="E55" s="18" t="s">
        <v>12</v>
      </c>
      <c r="F55" s="26" t="n">
        <v>4052212</v>
      </c>
      <c r="G55" s="18" t="s">
        <v>27</v>
      </c>
      <c r="H55" s="20" t="s">
        <v>28</v>
      </c>
      <c r="I55" s="21" t="n">
        <v>18</v>
      </c>
    </row>
    <row r="56" customFormat="false" ht="32.8" hidden="false" customHeight="false" outlineLevel="0" collapsed="false">
      <c r="A56" s="25" t="n">
        <v>44438</v>
      </c>
      <c r="B56" s="17" t="str">
        <f aca="false">HYPERLINK("https://my.zakupki.prom.ua/remote/dispatcher/state_purchase_view/29394283", "UA-2021-08-30-008392-a")</f>
        <v>UA-2021-08-30-008392-a</v>
      </c>
      <c r="C56" s="18" t="s">
        <v>394</v>
      </c>
      <c r="D56" s="18" t="s">
        <v>130</v>
      </c>
      <c r="E56" s="18" t="s">
        <v>12</v>
      </c>
      <c r="F56" s="26" t="n">
        <v>4052212</v>
      </c>
      <c r="G56" s="18" t="s">
        <v>205</v>
      </c>
      <c r="H56" s="20" t="s">
        <v>206</v>
      </c>
      <c r="I56" s="21" t="n">
        <v>20000</v>
      </c>
    </row>
    <row r="57" customFormat="false" ht="32.8" hidden="false" customHeight="false" outlineLevel="0" collapsed="false">
      <c r="A57" s="25" t="n">
        <v>44427</v>
      </c>
      <c r="B57" s="17" t="str">
        <f aca="false">HYPERLINK("https://my.zakupki.prom.ua/remote/dispatcher/state_purchase_view/29158978", "UA-2021-08-19-003741-a")</f>
        <v>UA-2021-08-19-003741-a</v>
      </c>
      <c r="C57" s="18" t="s">
        <v>395</v>
      </c>
      <c r="D57" s="18" t="s">
        <v>396</v>
      </c>
      <c r="E57" s="18" t="s">
        <v>12</v>
      </c>
      <c r="F57" s="26" t="n">
        <v>4052212</v>
      </c>
      <c r="G57" s="18" t="s">
        <v>397</v>
      </c>
      <c r="H57" s="20" t="s">
        <v>398</v>
      </c>
      <c r="I57" s="21" t="n">
        <v>525</v>
      </c>
    </row>
    <row r="58" customFormat="false" ht="32.8" hidden="false" customHeight="false" outlineLevel="0" collapsed="false">
      <c r="A58" s="25" t="n">
        <v>44449</v>
      </c>
      <c r="B58" s="17" t="str">
        <f aca="false">HYPERLINK("https://my.zakupki.prom.ua/remote/dispatcher/state_purchase_view/29739837", "UA-2021-09-10-004973-c")</f>
        <v>UA-2021-09-10-004973-c</v>
      </c>
      <c r="C58" s="18" t="s">
        <v>399</v>
      </c>
      <c r="D58" s="18" t="s">
        <v>130</v>
      </c>
      <c r="E58" s="18" t="s">
        <v>12</v>
      </c>
      <c r="F58" s="26" t="n">
        <v>4052212</v>
      </c>
      <c r="G58" s="18" t="s">
        <v>257</v>
      </c>
      <c r="H58" s="20" t="s">
        <v>258</v>
      </c>
      <c r="I58" s="21" t="n">
        <v>2678</v>
      </c>
    </row>
    <row r="59" customFormat="false" ht="32.8" hidden="false" customHeight="false" outlineLevel="0" collapsed="false">
      <c r="A59" s="25" t="n">
        <v>44449</v>
      </c>
      <c r="B59" s="17" t="str">
        <f aca="false">HYPERLINK("https://my.zakupki.prom.ua/remote/dispatcher/state_purchase_view/29755937", "UA-2021-09-10-009570-c")</f>
        <v>UA-2021-09-10-009570-c</v>
      </c>
      <c r="C59" s="18" t="s">
        <v>319</v>
      </c>
      <c r="D59" s="18" t="s">
        <v>130</v>
      </c>
      <c r="E59" s="18" t="s">
        <v>12</v>
      </c>
      <c r="F59" s="26" t="n">
        <v>4052212</v>
      </c>
      <c r="G59" s="18" t="s">
        <v>163</v>
      </c>
      <c r="H59" s="20" t="s">
        <v>164</v>
      </c>
      <c r="I59" s="21" t="n">
        <v>3100</v>
      </c>
    </row>
    <row r="60" customFormat="false" ht="43.1" hidden="false" customHeight="false" outlineLevel="0" collapsed="false">
      <c r="A60" s="25" t="n">
        <v>44449</v>
      </c>
      <c r="B60" s="17" t="str">
        <f aca="false">HYPERLINK("https://my.zakupki.prom.ua/remote/dispatcher/state_purchase_view/29756836", "UA-2021-09-10-009800-c")</f>
        <v>UA-2021-09-10-009800-c</v>
      </c>
      <c r="C60" s="18" t="s">
        <v>378</v>
      </c>
      <c r="D60" s="18" t="s">
        <v>193</v>
      </c>
      <c r="E60" s="18" t="s">
        <v>12</v>
      </c>
      <c r="F60" s="26" t="n">
        <v>4052212</v>
      </c>
      <c r="G60" s="18" t="s">
        <v>348</v>
      </c>
      <c r="H60" s="20" t="s">
        <v>349</v>
      </c>
      <c r="I60" s="21" t="n">
        <v>140</v>
      </c>
    </row>
    <row r="61" customFormat="false" ht="32.8" hidden="false" customHeight="false" outlineLevel="0" collapsed="false">
      <c r="A61" s="25" t="n">
        <v>44446</v>
      </c>
      <c r="B61" s="17" t="str">
        <f aca="false">HYPERLINK("https://my.zakupki.prom.ua/remote/dispatcher/state_purchase_view/29590608", "UA-2021-09-07-001066-c")</f>
        <v>UA-2021-09-07-001066-c</v>
      </c>
      <c r="C61" s="18" t="s">
        <v>400</v>
      </c>
      <c r="D61" s="18" t="s">
        <v>249</v>
      </c>
      <c r="E61" s="18" t="s">
        <v>12</v>
      </c>
      <c r="F61" s="26" t="n">
        <v>4052212</v>
      </c>
      <c r="G61" s="18" t="s">
        <v>221</v>
      </c>
      <c r="H61" s="20" t="s">
        <v>222</v>
      </c>
      <c r="I61" s="21" t="n">
        <v>1924</v>
      </c>
    </row>
    <row r="62" customFormat="false" ht="32.8" hidden="false" customHeight="false" outlineLevel="0" collapsed="false">
      <c r="A62" s="25" t="n">
        <v>44467</v>
      </c>
      <c r="B62" s="17" t="str">
        <f aca="false">HYPERLINK("https://my.zakupki.prom.ua/remote/dispatcher/state_purchase_view/30294307", "UA-2021-09-28-004024-b")</f>
        <v>UA-2021-09-28-004024-b</v>
      </c>
      <c r="C62" s="18" t="s">
        <v>285</v>
      </c>
      <c r="D62" s="18" t="s">
        <v>263</v>
      </c>
      <c r="E62" s="18" t="s">
        <v>12</v>
      </c>
      <c r="F62" s="26" t="n">
        <v>4052212</v>
      </c>
      <c r="G62" s="18" t="s">
        <v>286</v>
      </c>
      <c r="H62" s="20" t="s">
        <v>287</v>
      </c>
      <c r="I62" s="21" t="n">
        <v>1610</v>
      </c>
    </row>
    <row r="63" customFormat="false" ht="43.1" hidden="false" customHeight="false" outlineLevel="0" collapsed="false">
      <c r="A63" s="25" t="n">
        <v>44392</v>
      </c>
      <c r="B63" s="17" t="str">
        <f aca="false">HYPERLINK("https://my.zakupki.prom.ua/remote/dispatcher/state_purchase_view/28248749", "UA-2021-07-15-000846-b")</f>
        <v>UA-2021-07-15-000846-b</v>
      </c>
      <c r="C63" s="18" t="s">
        <v>401</v>
      </c>
      <c r="D63" s="18" t="s">
        <v>402</v>
      </c>
      <c r="E63" s="18" t="s">
        <v>12</v>
      </c>
      <c r="F63" s="26" t="n">
        <v>4052212</v>
      </c>
      <c r="G63" s="18" t="s">
        <v>355</v>
      </c>
      <c r="H63" s="20" t="s">
        <v>356</v>
      </c>
      <c r="I63" s="21" t="n">
        <v>19200</v>
      </c>
    </row>
    <row r="64" customFormat="false" ht="32.8" hidden="false" customHeight="false" outlineLevel="0" collapsed="false">
      <c r="A64" s="25" t="n">
        <v>44428</v>
      </c>
      <c r="B64" s="17" t="str">
        <f aca="false">HYPERLINK("https://my.zakupki.prom.ua/remote/dispatcher/state_purchase_view/29200733", "UA-2021-08-20-003886-a")</f>
        <v>UA-2021-08-20-003886-a</v>
      </c>
      <c r="C64" s="18" t="s">
        <v>403</v>
      </c>
      <c r="D64" s="18" t="s">
        <v>404</v>
      </c>
      <c r="E64" s="18" t="s">
        <v>12</v>
      </c>
      <c r="F64" s="26" t="n">
        <v>4052212</v>
      </c>
      <c r="G64" s="18" t="s">
        <v>364</v>
      </c>
      <c r="H64" s="20" t="s">
        <v>161</v>
      </c>
      <c r="I64" s="21" t="n">
        <v>4432</v>
      </c>
    </row>
    <row r="65" customFormat="false" ht="32.8" hidden="false" customHeight="false" outlineLevel="0" collapsed="false">
      <c r="A65" s="25" t="n">
        <v>44467</v>
      </c>
      <c r="B65" s="17" t="str">
        <f aca="false">HYPERLINK("https://my.zakupki.prom.ua/remote/dispatcher/state_purchase_view/30303919", "UA-2021-09-28-006530-b")</f>
        <v>UA-2021-09-28-006530-b</v>
      </c>
      <c r="C65" s="18" t="s">
        <v>379</v>
      </c>
      <c r="D65" s="18" t="s">
        <v>34</v>
      </c>
      <c r="E65" s="18" t="s">
        <v>12</v>
      </c>
      <c r="F65" s="26" t="n">
        <v>4052212</v>
      </c>
      <c r="G65" s="18" t="s">
        <v>35</v>
      </c>
      <c r="H65" s="20" t="s">
        <v>36</v>
      </c>
      <c r="I65" s="21" t="n">
        <v>582</v>
      </c>
    </row>
    <row r="66" customFormat="false" ht="32.8" hidden="false" customHeight="false" outlineLevel="0" collapsed="false">
      <c r="A66" s="25" t="n">
        <v>44466</v>
      </c>
      <c r="B66" s="17" t="str">
        <f aca="false">HYPERLINK("https://my.zakupki.prom.ua/remote/dispatcher/state_purchase_view/30244404", "UA-2021-09-27-002399-b")</f>
        <v>UA-2021-09-27-002399-b</v>
      </c>
      <c r="C66" s="18" t="s">
        <v>405</v>
      </c>
      <c r="D66" s="18" t="s">
        <v>11</v>
      </c>
      <c r="E66" s="18" t="s">
        <v>12</v>
      </c>
      <c r="F66" s="26" t="n">
        <v>4052212</v>
      </c>
      <c r="G66" s="18" t="s">
        <v>381</v>
      </c>
      <c r="H66" s="20" t="s">
        <v>382</v>
      </c>
      <c r="I66" s="21" t="n">
        <v>600</v>
      </c>
    </row>
    <row r="67" customFormat="false" ht="32.8" hidden="false" customHeight="false" outlineLevel="0" collapsed="false">
      <c r="A67" s="25" t="n">
        <v>44417</v>
      </c>
      <c r="B67" s="17" t="str">
        <f aca="false">HYPERLINK("https://my.zakupki.prom.ua/remote/dispatcher/state_purchase_view/28868147", "UA-2021-08-09-010790-a")</f>
        <v>UA-2021-08-09-010790-a</v>
      </c>
      <c r="C67" s="18" t="s">
        <v>25</v>
      </c>
      <c r="D67" s="18" t="s">
        <v>148</v>
      </c>
      <c r="E67" s="18" t="s">
        <v>12</v>
      </c>
      <c r="F67" s="26" t="n">
        <v>4052212</v>
      </c>
      <c r="G67" s="18" t="s">
        <v>27</v>
      </c>
      <c r="H67" s="20" t="s">
        <v>28</v>
      </c>
      <c r="I67" s="21" t="n">
        <v>2220.6</v>
      </c>
    </row>
    <row r="68" customFormat="false" ht="32.8" hidden="false" customHeight="false" outlineLevel="0" collapsed="false">
      <c r="A68" s="25" t="n">
        <v>44428</v>
      </c>
      <c r="B68" s="17" t="str">
        <f aca="false">HYPERLINK("https://my.zakupki.prom.ua/remote/dispatcher/state_purchase_view/29215399", "UA-2021-08-20-008148-a")</f>
        <v>UA-2021-08-20-008148-a</v>
      </c>
      <c r="C68" s="18" t="s">
        <v>126</v>
      </c>
      <c r="D68" s="18" t="s">
        <v>218</v>
      </c>
      <c r="E68" s="18" t="s">
        <v>12</v>
      </c>
      <c r="F68" s="26" t="n">
        <v>4052212</v>
      </c>
      <c r="G68" s="18" t="s">
        <v>217</v>
      </c>
      <c r="H68" s="20" t="s">
        <v>208</v>
      </c>
      <c r="I68" s="21" t="n">
        <v>1397</v>
      </c>
    </row>
    <row r="69" customFormat="false" ht="32.8" hidden="false" customHeight="false" outlineLevel="0" collapsed="false">
      <c r="A69" s="25" t="n">
        <v>44438</v>
      </c>
      <c r="B69" s="17" t="str">
        <f aca="false">HYPERLINK("https://my.zakupki.prom.ua/remote/dispatcher/state_purchase_view/29373097", "UA-2021-08-30-001920-a")</f>
        <v>UA-2021-08-30-001920-a</v>
      </c>
      <c r="C69" s="18" t="s">
        <v>277</v>
      </c>
      <c r="D69" s="18" t="s">
        <v>26</v>
      </c>
      <c r="E69" s="18" t="s">
        <v>12</v>
      </c>
      <c r="F69" s="26" t="n">
        <v>4052212</v>
      </c>
      <c r="G69" s="18" t="s">
        <v>80</v>
      </c>
      <c r="H69" s="20" t="s">
        <v>81</v>
      </c>
      <c r="I69" s="21" t="n">
        <v>1900</v>
      </c>
    </row>
    <row r="70" customFormat="false" ht="32.8" hidden="false" customHeight="false" outlineLevel="0" collapsed="false">
      <c r="A70" s="25" t="n">
        <v>44467</v>
      </c>
      <c r="B70" s="17" t="str">
        <f aca="false">HYPERLINK("https://my.zakupki.prom.ua/remote/dispatcher/state_purchase_view/30302228", "UA-2021-09-28-006055-b")</f>
        <v>UA-2021-09-28-006055-b</v>
      </c>
      <c r="C70" s="18" t="s">
        <v>285</v>
      </c>
      <c r="D70" s="18" t="s">
        <v>267</v>
      </c>
      <c r="E70" s="18" t="s">
        <v>12</v>
      </c>
      <c r="F70" s="26" t="n">
        <v>4052212</v>
      </c>
      <c r="G70" s="18" t="s">
        <v>286</v>
      </c>
      <c r="H70" s="20" t="s">
        <v>287</v>
      </c>
      <c r="I70" s="21" t="n">
        <v>200</v>
      </c>
    </row>
    <row r="71" customFormat="false" ht="32.8" hidden="false" customHeight="false" outlineLevel="0" collapsed="false">
      <c r="A71" s="25" t="n">
        <v>44385</v>
      </c>
      <c r="B71" s="17" t="str">
        <f aca="false">HYPERLINK("https://my.zakupki.prom.ua/remote/dispatcher/state_purchase_view/28061555", "UA-2021-07-08-001629-c")</f>
        <v>UA-2021-07-08-001629-c</v>
      </c>
      <c r="C71" s="18" t="s">
        <v>406</v>
      </c>
      <c r="D71" s="18" t="s">
        <v>16</v>
      </c>
      <c r="E71" s="18" t="s">
        <v>12</v>
      </c>
      <c r="F71" s="26" t="n">
        <v>4052212</v>
      </c>
      <c r="G71" s="18" t="s">
        <v>14</v>
      </c>
      <c r="H71" s="20" t="s">
        <v>15</v>
      </c>
      <c r="I71" s="21" t="n">
        <v>900</v>
      </c>
    </row>
    <row r="72" customFormat="false" ht="43.1" hidden="false" customHeight="false" outlineLevel="0" collapsed="false">
      <c r="A72" s="25" t="n">
        <v>44435</v>
      </c>
      <c r="B72" s="17" t="str">
        <f aca="false">HYPERLINK("https://my.zakupki.prom.ua/remote/dispatcher/state_purchase_view/29312324", "UA-2021-08-27-003921-a")</f>
        <v>UA-2021-08-27-003921-a</v>
      </c>
      <c r="C72" s="18" t="s">
        <v>357</v>
      </c>
      <c r="D72" s="18" t="s">
        <v>193</v>
      </c>
      <c r="E72" s="18" t="s">
        <v>12</v>
      </c>
      <c r="F72" s="26" t="n">
        <v>4052212</v>
      </c>
      <c r="G72" s="18" t="s">
        <v>346</v>
      </c>
      <c r="H72" s="20" t="s">
        <v>265</v>
      </c>
      <c r="I72" s="21" t="n">
        <v>225</v>
      </c>
    </row>
    <row r="73" customFormat="false" ht="32.8" hidden="false" customHeight="false" outlineLevel="0" collapsed="false">
      <c r="A73" s="25" t="n">
        <v>44426</v>
      </c>
      <c r="B73" s="17" t="str">
        <f aca="false">HYPERLINK("https://my.zakupki.prom.ua/remote/dispatcher/state_purchase_view/29126263", "UA-2021-08-18-006421-a")</f>
        <v>UA-2021-08-18-006421-a</v>
      </c>
      <c r="C73" s="18" t="s">
        <v>365</v>
      </c>
      <c r="D73" s="18" t="s">
        <v>366</v>
      </c>
      <c r="E73" s="18" t="s">
        <v>12</v>
      </c>
      <c r="F73" s="26" t="n">
        <v>4052212</v>
      </c>
      <c r="G73" s="18" t="s">
        <v>348</v>
      </c>
      <c r="H73" s="20" t="s">
        <v>349</v>
      </c>
      <c r="I73" s="21" t="n">
        <v>600</v>
      </c>
    </row>
    <row r="74" customFormat="false" ht="32.8" hidden="false" customHeight="false" outlineLevel="0" collapsed="false">
      <c r="A74" s="25" t="n">
        <v>44410</v>
      </c>
      <c r="B74" s="17" t="str">
        <f aca="false">HYPERLINK("https://my.zakupki.prom.ua/remote/dispatcher/state_purchase_view/28665587", "UA-2021-08-02-006007-b")</f>
        <v>UA-2021-08-02-006007-b</v>
      </c>
      <c r="C74" s="18" t="s">
        <v>407</v>
      </c>
      <c r="D74" s="18" t="s">
        <v>366</v>
      </c>
      <c r="E74" s="18" t="s">
        <v>12</v>
      </c>
      <c r="F74" s="26" t="n">
        <v>4052212</v>
      </c>
      <c r="G74" s="18" t="s">
        <v>408</v>
      </c>
      <c r="H74" s="20" t="s">
        <v>409</v>
      </c>
      <c r="I74" s="21" t="n">
        <v>4000</v>
      </c>
    </row>
    <row r="75" customFormat="false" ht="32.8" hidden="false" customHeight="false" outlineLevel="0" collapsed="false">
      <c r="A75" s="25" t="n">
        <v>44427</v>
      </c>
      <c r="B75" s="17" t="str">
        <f aca="false">HYPERLINK("https://my.zakupki.prom.ua/remote/dispatcher/state_purchase_view/29160216", "UA-2021-08-19-004220-a")</f>
        <v>UA-2021-08-19-004220-a</v>
      </c>
      <c r="C75" s="18" t="s">
        <v>262</v>
      </c>
      <c r="D75" s="18" t="s">
        <v>263</v>
      </c>
      <c r="E75" s="18" t="s">
        <v>12</v>
      </c>
      <c r="F75" s="26" t="n">
        <v>4052212</v>
      </c>
      <c r="G75" s="18" t="s">
        <v>346</v>
      </c>
      <c r="H75" s="20" t="s">
        <v>265</v>
      </c>
      <c r="I75" s="21" t="n">
        <v>3488</v>
      </c>
    </row>
    <row r="76" customFormat="false" ht="32.8" hidden="false" customHeight="false" outlineLevel="0" collapsed="false">
      <c r="A76" s="25" t="n">
        <v>44462</v>
      </c>
      <c r="B76" s="17" t="str">
        <f aca="false">HYPERLINK("https://my.zakupki.prom.ua/remote/dispatcher/state_purchase_view/30150732", "UA-2021-09-23-003302-b")</f>
        <v>UA-2021-09-23-003302-b</v>
      </c>
      <c r="C76" s="18" t="s">
        <v>410</v>
      </c>
      <c r="D76" s="18" t="s">
        <v>354</v>
      </c>
      <c r="E76" s="18" t="s">
        <v>12</v>
      </c>
      <c r="F76" s="26" t="n">
        <v>4052212</v>
      </c>
      <c r="G76" s="18" t="s">
        <v>91</v>
      </c>
      <c r="H76" s="20" t="s">
        <v>92</v>
      </c>
      <c r="I76" s="21" t="n">
        <v>1140</v>
      </c>
    </row>
    <row r="77" customFormat="false" ht="32.8" hidden="false" customHeight="false" outlineLevel="0" collapsed="false">
      <c r="A77" s="25" t="n">
        <v>44466</v>
      </c>
      <c r="B77" s="17" t="str">
        <f aca="false">HYPERLINK("https://my.zakupki.prom.ua/remote/dispatcher/state_purchase_view/30259976", "UA-2021-09-27-006591-b")</f>
        <v>UA-2021-09-27-006591-b</v>
      </c>
      <c r="C77" s="18" t="s">
        <v>319</v>
      </c>
      <c r="D77" s="18" t="s">
        <v>130</v>
      </c>
      <c r="E77" s="18" t="s">
        <v>12</v>
      </c>
      <c r="F77" s="26" t="n">
        <v>4052212</v>
      </c>
      <c r="G77" s="18" t="s">
        <v>163</v>
      </c>
      <c r="H77" s="20" t="s">
        <v>164</v>
      </c>
      <c r="I77" s="21" t="n">
        <v>480</v>
      </c>
    </row>
    <row r="78" customFormat="false" ht="74.05" hidden="false" customHeight="false" outlineLevel="0" collapsed="false">
      <c r="A78" s="25" t="n">
        <v>44466</v>
      </c>
      <c r="B78" s="17" t="str">
        <f aca="false">HYPERLINK("https://my.zakupki.prom.ua/remote/dispatcher/state_purchase_view/30239784", "UA-2021-09-27-001101-b")</f>
        <v>UA-2021-09-27-001101-b</v>
      </c>
      <c r="C78" s="18" t="s">
        <v>411</v>
      </c>
      <c r="D78" s="18" t="s">
        <v>171</v>
      </c>
      <c r="E78" s="18" t="s">
        <v>12</v>
      </c>
      <c r="F78" s="26" t="n">
        <v>4052212</v>
      </c>
      <c r="G78" s="18" t="s">
        <v>172</v>
      </c>
      <c r="H78" s="20" t="s">
        <v>173</v>
      </c>
      <c r="I78" s="21" t="n">
        <v>32400</v>
      </c>
    </row>
    <row r="79" customFormat="false" ht="135.9" hidden="false" customHeight="false" outlineLevel="0" collapsed="false">
      <c r="A79" s="25" t="n">
        <v>44467</v>
      </c>
      <c r="B79" s="17" t="str">
        <f aca="false">HYPERLINK("https://my.zakupki.prom.ua/remote/dispatcher/state_purchase_view/30313980", "UA-2021-09-28-009378-b")</f>
        <v>UA-2021-09-28-009378-b</v>
      </c>
      <c r="C79" s="18" t="s">
        <v>412</v>
      </c>
      <c r="D79" s="18" t="s">
        <v>413</v>
      </c>
      <c r="E79" s="18" t="s">
        <v>12</v>
      </c>
      <c r="F79" s="26" t="n">
        <v>4052212</v>
      </c>
      <c r="G79" s="18" t="s">
        <v>355</v>
      </c>
      <c r="H79" s="20" t="s">
        <v>356</v>
      </c>
      <c r="I79" s="21" t="n">
        <v>34650</v>
      </c>
    </row>
    <row r="80" customFormat="false" ht="32.8" hidden="false" customHeight="false" outlineLevel="0" collapsed="false">
      <c r="A80" s="25" t="n">
        <v>44389</v>
      </c>
      <c r="B80" s="17" t="str">
        <f aca="false">HYPERLINK("https://my.zakupki.prom.ua/remote/dispatcher/state_purchase_view/28135432", "UA-2021-07-12-000430-c")</f>
        <v>UA-2021-07-12-000430-c</v>
      </c>
      <c r="C80" s="18" t="s">
        <v>377</v>
      </c>
      <c r="D80" s="18" t="s">
        <v>414</v>
      </c>
      <c r="E80" s="18" t="s">
        <v>12</v>
      </c>
      <c r="F80" s="26" t="n">
        <v>4052212</v>
      </c>
      <c r="G80" s="18" t="s">
        <v>23</v>
      </c>
      <c r="H80" s="20" t="s">
        <v>24</v>
      </c>
      <c r="I80" s="21" t="n">
        <v>1439</v>
      </c>
    </row>
    <row r="81" customFormat="false" ht="32.8" hidden="false" customHeight="false" outlineLevel="0" collapsed="false">
      <c r="A81" s="25" t="n">
        <v>44407</v>
      </c>
      <c r="B81" s="17" t="str">
        <f aca="false">HYPERLINK("https://my.zakupki.prom.ua/remote/dispatcher/state_purchase_view/28643735", "UA-2021-07-30-007776-b")</f>
        <v>UA-2021-07-30-007776-b</v>
      </c>
      <c r="C81" s="18" t="s">
        <v>415</v>
      </c>
      <c r="D81" s="18" t="s">
        <v>416</v>
      </c>
      <c r="E81" s="18" t="s">
        <v>12</v>
      </c>
      <c r="F81" s="26" t="n">
        <v>4052212</v>
      </c>
      <c r="G81" s="18" t="s">
        <v>417</v>
      </c>
      <c r="H81" s="20" t="s">
        <v>418</v>
      </c>
      <c r="I81" s="21" t="n">
        <v>18894</v>
      </c>
    </row>
    <row r="82" customFormat="false" ht="84.35" hidden="false" customHeight="false" outlineLevel="0" collapsed="false">
      <c r="A82" s="25" t="n">
        <v>44461</v>
      </c>
      <c r="B82" s="17" t="str">
        <f aca="false">HYPERLINK("https://my.zakupki.prom.ua/remote/dispatcher/state_purchase_view/30089656", "UA-2021-09-22-000187-b")</f>
        <v>UA-2021-09-22-000187-b</v>
      </c>
      <c r="C82" s="18" t="s">
        <v>419</v>
      </c>
      <c r="D82" s="18" t="s">
        <v>171</v>
      </c>
      <c r="E82" s="18" t="s">
        <v>12</v>
      </c>
      <c r="F82" s="26" t="n">
        <v>4052212</v>
      </c>
      <c r="G82" s="18" t="s">
        <v>172</v>
      </c>
      <c r="H82" s="20" t="s">
        <v>173</v>
      </c>
      <c r="I82" s="21" t="n">
        <v>9504</v>
      </c>
    </row>
    <row r="83" customFormat="false" ht="32.8" hidden="false" customHeight="false" outlineLevel="0" collapsed="false">
      <c r="A83" s="25" t="n">
        <v>44466</v>
      </c>
      <c r="B83" s="17" t="str">
        <f aca="false">HYPERLINK("https://my.zakupki.prom.ua/remote/dispatcher/state_purchase_view/30250636", "UA-2021-09-27-004037-b")</f>
        <v>UA-2021-09-27-004037-b</v>
      </c>
      <c r="C83" s="18" t="s">
        <v>372</v>
      </c>
      <c r="D83" s="18" t="s">
        <v>34</v>
      </c>
      <c r="E83" s="18" t="s">
        <v>12</v>
      </c>
      <c r="F83" s="26" t="n">
        <v>4052212</v>
      </c>
      <c r="G83" s="18" t="s">
        <v>35</v>
      </c>
      <c r="H83" s="20" t="s">
        <v>36</v>
      </c>
      <c r="I83" s="21" t="n">
        <v>705</v>
      </c>
    </row>
    <row r="84" customFormat="false" ht="32.8" hidden="false" customHeight="false" outlineLevel="0" collapsed="false">
      <c r="A84" s="25" t="n">
        <v>44393</v>
      </c>
      <c r="B84" s="17" t="str">
        <f aca="false">HYPERLINK("https://my.zakupki.prom.ua/remote/dispatcher/state_purchase_view/28294438", "UA-2021-07-16-003417-b")</f>
        <v>UA-2021-07-16-003417-b</v>
      </c>
      <c r="C84" s="18" t="s">
        <v>45</v>
      </c>
      <c r="D84" s="18" t="s">
        <v>333</v>
      </c>
      <c r="E84" s="18" t="s">
        <v>12</v>
      </c>
      <c r="F84" s="26" t="n">
        <v>4052212</v>
      </c>
      <c r="G84" s="18" t="s">
        <v>47</v>
      </c>
      <c r="H84" s="20" t="s">
        <v>48</v>
      </c>
      <c r="I84" s="21" t="n">
        <v>22000</v>
      </c>
    </row>
    <row r="85" customFormat="false" ht="32.8" hidden="false" customHeight="false" outlineLevel="0" collapsed="false">
      <c r="A85" s="25" t="n">
        <v>44425</v>
      </c>
      <c r="B85" s="17" t="str">
        <f aca="false">HYPERLINK("https://my.zakupki.prom.ua/remote/dispatcher/state_purchase_view/29070697", "UA-2021-08-17-000724-a")</f>
        <v>UA-2021-08-17-000724-a</v>
      </c>
      <c r="C85" s="18" t="s">
        <v>420</v>
      </c>
      <c r="D85" s="18" t="s">
        <v>366</v>
      </c>
      <c r="E85" s="18" t="s">
        <v>12</v>
      </c>
      <c r="F85" s="26" t="n">
        <v>4052212</v>
      </c>
      <c r="G85" s="18" t="s">
        <v>35</v>
      </c>
      <c r="H85" s="20" t="s">
        <v>36</v>
      </c>
      <c r="I85" s="21" t="n">
        <v>546</v>
      </c>
    </row>
    <row r="86" customFormat="false" ht="32.8" hidden="false" customHeight="false" outlineLevel="0" collapsed="false">
      <c r="A86" s="25" t="n">
        <v>44426</v>
      </c>
      <c r="B86" s="17" t="str">
        <f aca="false">HYPERLINK("https://my.zakupki.prom.ua/remote/dispatcher/state_purchase_view/29140243", "UA-2021-08-18-011644-a")</f>
        <v>UA-2021-08-18-011644-a</v>
      </c>
      <c r="C86" s="18" t="s">
        <v>421</v>
      </c>
      <c r="D86" s="18" t="s">
        <v>267</v>
      </c>
      <c r="E86" s="18" t="s">
        <v>12</v>
      </c>
      <c r="F86" s="26" t="n">
        <v>4052212</v>
      </c>
      <c r="G86" s="18" t="s">
        <v>286</v>
      </c>
      <c r="H86" s="20" t="s">
        <v>287</v>
      </c>
      <c r="I86" s="21" t="n">
        <v>596.1</v>
      </c>
    </row>
    <row r="87" customFormat="false" ht="43.1" hidden="false" customHeight="false" outlineLevel="0" collapsed="false">
      <c r="A87" s="25" t="n">
        <v>44427</v>
      </c>
      <c r="B87" s="17" t="str">
        <f aca="false">HYPERLINK("https://my.zakupki.prom.ua/remote/dispatcher/state_purchase_view/29157886", "UA-2021-08-19-003370-a")</f>
        <v>UA-2021-08-19-003370-a</v>
      </c>
      <c r="C87" s="18" t="s">
        <v>347</v>
      </c>
      <c r="D87" s="18" t="s">
        <v>193</v>
      </c>
      <c r="E87" s="18" t="s">
        <v>12</v>
      </c>
      <c r="F87" s="26" t="n">
        <v>4052212</v>
      </c>
      <c r="G87" s="18" t="s">
        <v>348</v>
      </c>
      <c r="H87" s="20" t="s">
        <v>349</v>
      </c>
      <c r="I87" s="21" t="n">
        <v>1087</v>
      </c>
    </row>
    <row r="88" customFormat="false" ht="12.8" hidden="false" customHeight="false" outlineLevel="0" collapsed="false"/>
    <row r="89" customFormat="false" ht="12.8" hidden="false" customHeight="false" outlineLevel="0" collapsed="false"/>
    <row r="90" customFormat="false" ht="12.8" hidden="false" customHeight="false" outlineLevel="0" collapsed="false"/>
    <row r="91" customFormat="false" ht="12.8" hidden="false" customHeight="false" outlineLevel="0" collapsed="false"/>
    <row r="92" customFormat="false" ht="12.8" hidden="false" customHeight="false" outlineLevel="0" collapsed="false"/>
    <row r="93" customFormat="false" ht="12.8" hidden="false" customHeight="false" outlineLevel="0" collapsed="false"/>
    <row r="94" customFormat="false" ht="12.8" hidden="false" customHeight="false" outlineLevel="0" collapsed="false"/>
    <row r="95" customFormat="false" ht="12.8" hidden="false" customHeight="false" outlineLevel="0" collapsed="false"/>
    <row r="96" customFormat="false" ht="12.8" hidden="false" customHeight="false" outlineLevel="0" collapsed="false"/>
    <row r="97" customFormat="false" ht="12.8" hidden="false" customHeight="false" outlineLevel="0" collapsed="false"/>
    <row r="98" customFormat="false" ht="12.8" hidden="false" customHeight="false" outlineLevel="0" collapsed="false"/>
    <row r="99" customFormat="false" ht="12.8" hidden="false" customHeight="false" outlineLevel="0" collapsed="false"/>
    <row r="100" customFormat="false" ht="12.8" hidden="false" customHeight="false" outlineLevel="0" collapsed="false"/>
    <row r="101" customFormat="false" ht="12.8" hidden="false" customHeight="false" outlineLevel="0" collapsed="false"/>
    <row r="102" customFormat="false" ht="12.8" hidden="false" customHeight="false" outlineLevel="0" collapsed="false"/>
    <row r="103" customFormat="false" ht="12.8" hidden="false" customHeight="false" outlineLevel="0" collapsed="false"/>
    <row r="104" customFormat="false" ht="12.8" hidden="false" customHeight="false" outlineLevel="0" collapsed="false"/>
    <row r="105" customFormat="false" ht="12.8" hidden="false" customHeight="false" outlineLevel="0" collapsed="false"/>
    <row r="106" customFormat="false" ht="12.8" hidden="false" customHeight="false" outlineLevel="0" collapsed="false"/>
    <row r="107" customFormat="false" ht="12.8" hidden="false" customHeight="false" outlineLevel="0" collapsed="false"/>
    <row r="108" customFormat="false" ht="12.8" hidden="false" customHeight="false" outlineLevel="0" collapsed="false"/>
    <row r="109" customFormat="false" ht="12.8" hidden="false" customHeight="false" outlineLevel="0" collapsed="false"/>
    <row r="110" customFormat="false" ht="12.8" hidden="false" customHeight="false" outlineLevel="0" collapsed="false"/>
    <row r="111" customFormat="false" ht="12.8" hidden="false" customHeight="false" outlineLevel="0" collapsed="false"/>
    <row r="112" customFormat="false" ht="12.8" hidden="false" customHeight="false" outlineLevel="0" collapsed="false"/>
    <row r="113" customFormat="false" ht="12.8" hidden="false" customHeight="false" outlineLevel="0" collapsed="false"/>
    <row r="114" customFormat="false" ht="12.8" hidden="false" customHeight="false" outlineLevel="0" collapsed="false"/>
    <row r="115" customFormat="false" ht="12.8" hidden="false" customHeight="false" outlineLevel="0" collapsed="false"/>
    <row r="116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4:I4"/>
  <mergeCells count="1">
    <mergeCell ref="A2:I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Roman,Звичайний"&amp;12Страница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2" activeCellId="0" sqref="L2"/>
    </sheetView>
  </sheetViews>
  <sheetFormatPr defaultRowHeight="12.75" zeroHeight="false" outlineLevelRow="0" outlineLevelCol="0"/>
  <cols>
    <col collapsed="false" customWidth="true" hidden="false" outlineLevel="0" max="1" min="1" style="0" width="10.99"/>
    <col collapsed="false" customWidth="true" hidden="false" outlineLevel="0" max="2" min="2" style="0" width="27.31"/>
    <col collapsed="false" customWidth="true" hidden="false" outlineLevel="0" max="3" min="3" style="0" width="26.39"/>
    <col collapsed="false" customWidth="true" hidden="false" outlineLevel="0" max="4" min="4" style="0" width="23.76"/>
    <col collapsed="false" customWidth="true" hidden="false" outlineLevel="0" max="5" min="5" style="0" width="19.57"/>
    <col collapsed="false" customWidth="true" hidden="false" outlineLevel="0" max="6" min="6" style="0" width="15.28"/>
    <col collapsed="false" customWidth="true" hidden="false" outlineLevel="0" max="7" min="7" style="0" width="18.61"/>
    <col collapsed="false" customWidth="true" hidden="false" outlineLevel="0" max="8" min="8" style="0" width="13.89"/>
    <col collapsed="false" customWidth="true" hidden="false" outlineLevel="0" max="9" min="9" style="0" width="14.31"/>
    <col collapsed="false" customWidth="true" hidden="false" outlineLevel="0" max="1025" min="10" style="0" width="8.67"/>
  </cols>
  <sheetData>
    <row r="1" customFormat="false" ht="24.75" hidden="false" customHeight="true" outlineLevel="0" collapsed="false">
      <c r="A1" s="27"/>
      <c r="B1" s="27"/>
      <c r="C1" s="27"/>
      <c r="D1" s="27"/>
      <c r="E1" s="27"/>
      <c r="F1" s="27"/>
      <c r="G1" s="27"/>
      <c r="H1" s="27"/>
      <c r="I1" s="27"/>
    </row>
    <row r="2" customFormat="false" ht="26.25" hidden="false" customHeight="true" outlineLevel="0" collapsed="false">
      <c r="A2" s="28" t="s">
        <v>422</v>
      </c>
      <c r="B2" s="28"/>
      <c r="C2" s="28"/>
      <c r="D2" s="28"/>
      <c r="E2" s="28"/>
      <c r="F2" s="28"/>
      <c r="G2" s="28"/>
      <c r="H2" s="28"/>
      <c r="I2" s="28"/>
    </row>
    <row r="3" customFormat="false" ht="30" hidden="false" customHeight="true" outlineLevel="0" collapsed="false">
      <c r="A3" s="27"/>
      <c r="B3" s="27"/>
      <c r="C3" s="27"/>
      <c r="D3" s="27"/>
      <c r="E3" s="27"/>
      <c r="F3" s="27"/>
      <c r="G3" s="27"/>
      <c r="H3" s="27"/>
      <c r="I3" s="27"/>
    </row>
    <row r="4" customFormat="false" ht="60.75" hidden="false" customHeight="true" outlineLevel="0" collapsed="false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</row>
    <row r="5" customFormat="false" ht="57.45" hidden="false" customHeight="false" outlineLevel="0" collapsed="false">
      <c r="A5" s="29" t="n">
        <v>44460</v>
      </c>
      <c r="B5" s="30" t="str">
        <f aca="false">HYPERLINK("https://my.zakupki.prom.ua/remote/dispatcher/state_purchase_view/30083980", "UA-2021-09-21-012615-b")</f>
        <v>UA-2021-09-21-012615-b</v>
      </c>
      <c r="C5" s="31" t="s">
        <v>423</v>
      </c>
      <c r="D5" s="31" t="s">
        <v>424</v>
      </c>
      <c r="E5" s="31" t="s">
        <v>12</v>
      </c>
      <c r="F5" s="32" t="n">
        <v>4052212</v>
      </c>
      <c r="G5" s="31" t="s">
        <v>425</v>
      </c>
      <c r="H5" s="31" t="s">
        <v>426</v>
      </c>
      <c r="I5" s="33" t="n">
        <v>81022.68</v>
      </c>
    </row>
    <row r="6" customFormat="false" ht="57.45" hidden="false" customHeight="false" outlineLevel="0" collapsed="false">
      <c r="A6" s="29" t="n">
        <v>44543</v>
      </c>
      <c r="B6" s="30" t="str">
        <f aca="false">HYPERLINK("https://my.zakupki.prom.ua/remote/dispatcher/state_purchase_view/33000415", "UA-2021-12-13-012849-c")</f>
        <v>UA-2021-12-13-012849-c</v>
      </c>
      <c r="C6" s="31" t="s">
        <v>126</v>
      </c>
      <c r="D6" s="31" t="s">
        <v>53</v>
      </c>
      <c r="E6" s="31" t="s">
        <v>12</v>
      </c>
      <c r="F6" s="32" t="n">
        <v>4052212</v>
      </c>
      <c r="G6" s="31" t="s">
        <v>217</v>
      </c>
      <c r="H6" s="31" t="s">
        <v>208</v>
      </c>
      <c r="I6" s="33" t="n">
        <v>600</v>
      </c>
    </row>
    <row r="7" customFormat="false" ht="57.45" hidden="false" customHeight="false" outlineLevel="0" collapsed="false">
      <c r="A7" s="29" t="n">
        <v>44526</v>
      </c>
      <c r="B7" s="30" t="str">
        <f aca="false">HYPERLINK("https://my.zakupki.prom.ua/remote/dispatcher/state_purchase_view/32258493", "UA-2021-11-26-001424-a")</f>
        <v>UA-2021-11-26-001424-a</v>
      </c>
      <c r="C7" s="31" t="s">
        <v>427</v>
      </c>
      <c r="D7" s="31" t="s">
        <v>428</v>
      </c>
      <c r="E7" s="31" t="s">
        <v>12</v>
      </c>
      <c r="F7" s="32" t="n">
        <v>4052212</v>
      </c>
      <c r="G7" s="31" t="s">
        <v>346</v>
      </c>
      <c r="H7" s="31" t="s">
        <v>265</v>
      </c>
      <c r="I7" s="33" t="n">
        <v>29492</v>
      </c>
    </row>
    <row r="8" customFormat="false" ht="57.45" hidden="false" customHeight="false" outlineLevel="0" collapsed="false">
      <c r="A8" s="29" t="n">
        <v>44531</v>
      </c>
      <c r="B8" s="30" t="str">
        <f aca="false">HYPERLINK("https://my.zakupki.prom.ua/remote/dispatcher/state_purchase_view/32411773", "UA-2021-12-01-000569-c")</f>
        <v>UA-2021-12-01-000569-c</v>
      </c>
      <c r="C8" s="31" t="s">
        <v>399</v>
      </c>
      <c r="D8" s="31" t="s">
        <v>130</v>
      </c>
      <c r="E8" s="31" t="s">
        <v>12</v>
      </c>
      <c r="F8" s="32" t="n">
        <v>4052212</v>
      </c>
      <c r="G8" s="31" t="s">
        <v>257</v>
      </c>
      <c r="H8" s="31" t="s">
        <v>258</v>
      </c>
      <c r="I8" s="33" t="n">
        <v>3830</v>
      </c>
    </row>
    <row r="9" customFormat="false" ht="57.45" hidden="false" customHeight="false" outlineLevel="0" collapsed="false">
      <c r="A9" s="29" t="n">
        <v>44522</v>
      </c>
      <c r="B9" s="30" t="str">
        <f aca="false">HYPERLINK("https://my.zakupki.prom.ua/remote/dispatcher/state_purchase_view/32064960", "UA-2021-11-22-010376-a")</f>
        <v>UA-2021-11-22-010376-a</v>
      </c>
      <c r="C9" s="31" t="s">
        <v>429</v>
      </c>
      <c r="D9" s="31" t="s">
        <v>430</v>
      </c>
      <c r="E9" s="31" t="s">
        <v>12</v>
      </c>
      <c r="F9" s="32" t="n">
        <v>4052212</v>
      </c>
      <c r="G9" s="31" t="s">
        <v>163</v>
      </c>
      <c r="H9" s="31" t="s">
        <v>164</v>
      </c>
      <c r="I9" s="33" t="n">
        <v>822</v>
      </c>
    </row>
    <row r="10" customFormat="false" ht="57.45" hidden="false" customHeight="false" outlineLevel="0" collapsed="false">
      <c r="A10" s="29" t="n">
        <v>44446</v>
      </c>
      <c r="B10" s="30" t="str">
        <f aca="false">HYPERLINK("https://my.zakupki.prom.ua/remote/dispatcher/state_purchase_view/29590608", "UA-2021-09-07-001066-c")</f>
        <v>UA-2021-09-07-001066-c</v>
      </c>
      <c r="C10" s="31" t="s">
        <v>400</v>
      </c>
      <c r="D10" s="31" t="s">
        <v>249</v>
      </c>
      <c r="E10" s="31" t="s">
        <v>12</v>
      </c>
      <c r="F10" s="32" t="n">
        <v>4052212</v>
      </c>
      <c r="G10" s="31" t="s">
        <v>221</v>
      </c>
      <c r="H10" s="31" t="s">
        <v>222</v>
      </c>
      <c r="I10" s="33" t="n">
        <v>1924</v>
      </c>
    </row>
    <row r="11" customFormat="false" ht="57.45" hidden="false" customHeight="false" outlineLevel="0" collapsed="false">
      <c r="A11" s="29" t="n">
        <v>44462</v>
      </c>
      <c r="B11" s="30" t="str">
        <f aca="false">HYPERLINK("https://my.zakupki.prom.ua/remote/dispatcher/state_purchase_view/30144855", "UA-2021-09-23-001618-b")</f>
        <v>UA-2021-09-23-001618-b</v>
      </c>
      <c r="C11" s="31" t="s">
        <v>344</v>
      </c>
      <c r="D11" s="31" t="s">
        <v>345</v>
      </c>
      <c r="E11" s="31" t="s">
        <v>12</v>
      </c>
      <c r="F11" s="32" t="n">
        <v>4052212</v>
      </c>
      <c r="G11" s="31" t="s">
        <v>91</v>
      </c>
      <c r="H11" s="31" t="s">
        <v>92</v>
      </c>
      <c r="I11" s="33" t="n">
        <v>621</v>
      </c>
    </row>
    <row r="12" customFormat="false" ht="57.45" hidden="false" customHeight="false" outlineLevel="0" collapsed="false">
      <c r="A12" s="29" t="n">
        <v>44473</v>
      </c>
      <c r="B12" s="30" t="str">
        <f aca="false">HYPERLINK("https://my.zakupki.prom.ua/remote/dispatcher/state_purchase_view/30440085", "UA-2021-10-04-003574-b")</f>
        <v>UA-2021-10-04-003574-b</v>
      </c>
      <c r="C12" s="31" t="s">
        <v>338</v>
      </c>
      <c r="D12" s="31" t="s">
        <v>431</v>
      </c>
      <c r="E12" s="31" t="s">
        <v>12</v>
      </c>
      <c r="F12" s="32" t="n">
        <v>4052212</v>
      </c>
      <c r="G12" s="31" t="s">
        <v>432</v>
      </c>
      <c r="H12" s="31" t="s">
        <v>433</v>
      </c>
      <c r="I12" s="33" t="n">
        <v>47250</v>
      </c>
    </row>
    <row r="13" customFormat="false" ht="57.45" hidden="false" customHeight="false" outlineLevel="0" collapsed="false">
      <c r="A13" s="29" t="n">
        <v>44473</v>
      </c>
      <c r="B13" s="30" t="str">
        <f aca="false">HYPERLINK("https://my.zakupki.prom.ua/remote/dispatcher/state_purchase_view/30449977", "UA-2021-10-04-006275-b")</f>
        <v>UA-2021-10-04-006275-b</v>
      </c>
      <c r="C13" s="31" t="s">
        <v>434</v>
      </c>
      <c r="D13" s="31" t="s">
        <v>435</v>
      </c>
      <c r="E13" s="31" t="s">
        <v>12</v>
      </c>
      <c r="F13" s="32" t="n">
        <v>4052212</v>
      </c>
      <c r="G13" s="31" t="s">
        <v>432</v>
      </c>
      <c r="H13" s="31" t="s">
        <v>433</v>
      </c>
      <c r="I13" s="33" t="n">
        <v>15000</v>
      </c>
    </row>
    <row r="14" customFormat="false" ht="147" hidden="false" customHeight="false" outlineLevel="0" collapsed="false">
      <c r="A14" s="29" t="n">
        <v>44517</v>
      </c>
      <c r="B14" s="30" t="str">
        <f aca="false">HYPERLINK("https://my.zakupki.prom.ua/remote/dispatcher/state_purchase_view/31865772", "UA-2021-11-17-000760-a")</f>
        <v>UA-2021-11-17-000760-a</v>
      </c>
      <c r="C14" s="31" t="s">
        <v>436</v>
      </c>
      <c r="D14" s="31" t="s">
        <v>50</v>
      </c>
      <c r="E14" s="31" t="s">
        <v>12</v>
      </c>
      <c r="F14" s="32" t="n">
        <v>4052212</v>
      </c>
      <c r="G14" s="31" t="s">
        <v>437</v>
      </c>
      <c r="H14" s="31" t="s">
        <v>438</v>
      </c>
      <c r="I14" s="33" t="n">
        <v>360</v>
      </c>
    </row>
    <row r="15" customFormat="false" ht="57.45" hidden="false" customHeight="false" outlineLevel="0" collapsed="false">
      <c r="A15" s="29" t="n">
        <v>44498</v>
      </c>
      <c r="B15" s="30" t="str">
        <f aca="false">HYPERLINK("https://my.zakupki.prom.ua/remote/dispatcher/state_purchase_view/31255922", "UA-2021-10-29-007359-a")</f>
        <v>UA-2021-10-29-007359-a</v>
      </c>
      <c r="C15" s="31" t="s">
        <v>25</v>
      </c>
      <c r="D15" s="31" t="s">
        <v>125</v>
      </c>
      <c r="E15" s="31" t="s">
        <v>12</v>
      </c>
      <c r="F15" s="32" t="n">
        <v>4052212</v>
      </c>
      <c r="G15" s="31" t="s">
        <v>224</v>
      </c>
      <c r="H15" s="31" t="s">
        <v>28</v>
      </c>
      <c r="I15" s="33" t="n">
        <v>108.1</v>
      </c>
    </row>
    <row r="16" customFormat="false" ht="57.45" hidden="false" customHeight="false" outlineLevel="0" collapsed="false">
      <c r="A16" s="29" t="n">
        <v>44466</v>
      </c>
      <c r="B16" s="30" t="str">
        <f aca="false">HYPERLINK("https://my.zakupki.prom.ua/remote/dispatcher/state_purchase_view/30250636", "UA-2021-09-27-004037-b")</f>
        <v>UA-2021-09-27-004037-b</v>
      </c>
      <c r="C16" s="31" t="s">
        <v>372</v>
      </c>
      <c r="D16" s="31" t="s">
        <v>34</v>
      </c>
      <c r="E16" s="31" t="s">
        <v>12</v>
      </c>
      <c r="F16" s="32" t="n">
        <v>4052212</v>
      </c>
      <c r="G16" s="31" t="s">
        <v>35</v>
      </c>
      <c r="H16" s="31" t="s">
        <v>36</v>
      </c>
      <c r="I16" s="33" t="n">
        <v>705</v>
      </c>
    </row>
    <row r="17" customFormat="false" ht="57.45" hidden="false" customHeight="false" outlineLevel="0" collapsed="false">
      <c r="A17" s="29" t="n">
        <v>44449</v>
      </c>
      <c r="B17" s="30" t="str">
        <f aca="false">HYPERLINK("https://my.zakupki.prom.ua/remote/dispatcher/state_purchase_view/29757912", "UA-2021-09-10-010108-c")</f>
        <v>UA-2021-09-10-010108-c</v>
      </c>
      <c r="C17" s="31" t="s">
        <v>378</v>
      </c>
      <c r="D17" s="31" t="s">
        <v>34</v>
      </c>
      <c r="E17" s="31" t="s">
        <v>12</v>
      </c>
      <c r="F17" s="32" t="n">
        <v>4052212</v>
      </c>
      <c r="G17" s="31" t="s">
        <v>348</v>
      </c>
      <c r="H17" s="31" t="s">
        <v>349</v>
      </c>
      <c r="I17" s="33" t="n">
        <v>444</v>
      </c>
    </row>
    <row r="18" customFormat="false" ht="57.45" hidden="false" customHeight="false" outlineLevel="0" collapsed="false">
      <c r="A18" s="29" t="n">
        <v>44543</v>
      </c>
      <c r="B18" s="30" t="str">
        <f aca="false">HYPERLINK("https://my.zakupki.prom.ua/remote/dispatcher/state_purchase_view/33016134", "UA-2021-12-13-017476-c")</f>
        <v>UA-2021-12-13-017476-c</v>
      </c>
      <c r="C18" s="31" t="s">
        <v>439</v>
      </c>
      <c r="D18" s="31" t="s">
        <v>440</v>
      </c>
      <c r="E18" s="31" t="s">
        <v>12</v>
      </c>
      <c r="F18" s="32" t="n">
        <v>4052212</v>
      </c>
      <c r="G18" s="31" t="s">
        <v>441</v>
      </c>
      <c r="H18" s="31" t="s">
        <v>283</v>
      </c>
      <c r="I18" s="33" t="n">
        <v>732</v>
      </c>
    </row>
    <row r="19" customFormat="false" ht="79.85" hidden="false" customHeight="false" outlineLevel="0" collapsed="false">
      <c r="A19" s="29" t="n">
        <v>44540</v>
      </c>
      <c r="B19" s="30" t="str">
        <f aca="false">HYPERLINK("https://my.zakupki.prom.ua/remote/dispatcher/state_purchase_view/32883998", "UA-2021-12-10-001520-c")</f>
        <v>UA-2021-12-10-001520-c</v>
      </c>
      <c r="C19" s="31" t="s">
        <v>442</v>
      </c>
      <c r="D19" s="31" t="s">
        <v>171</v>
      </c>
      <c r="E19" s="31" t="s">
        <v>12</v>
      </c>
      <c r="F19" s="32" t="n">
        <v>4052212</v>
      </c>
      <c r="G19" s="31" t="s">
        <v>172</v>
      </c>
      <c r="H19" s="31" t="s">
        <v>173</v>
      </c>
      <c r="I19" s="33" t="n">
        <v>11199.6</v>
      </c>
    </row>
    <row r="20" customFormat="false" ht="57.45" hidden="false" customHeight="false" outlineLevel="0" collapsed="false">
      <c r="A20" s="29" t="n">
        <v>44543</v>
      </c>
      <c r="B20" s="30" t="str">
        <f aca="false">HYPERLINK("https://my.zakupki.prom.ua/remote/dispatcher/state_purchase_view/32979177", "UA-2021-12-13-006777-c")</f>
        <v>UA-2021-12-13-006777-c</v>
      </c>
      <c r="C20" s="31" t="s">
        <v>126</v>
      </c>
      <c r="D20" s="31" t="s">
        <v>328</v>
      </c>
      <c r="E20" s="31" t="s">
        <v>12</v>
      </c>
      <c r="F20" s="32" t="n">
        <v>4052212</v>
      </c>
      <c r="G20" s="31" t="s">
        <v>217</v>
      </c>
      <c r="H20" s="31" t="s">
        <v>208</v>
      </c>
      <c r="I20" s="33" t="n">
        <v>250</v>
      </c>
    </row>
    <row r="21" customFormat="false" ht="57.45" hidden="false" customHeight="false" outlineLevel="0" collapsed="false">
      <c r="A21" s="29" t="n">
        <v>44531</v>
      </c>
      <c r="B21" s="30" t="str">
        <f aca="false">HYPERLINK("https://my.zakupki.prom.ua/remote/dispatcher/state_purchase_view/32412962", "UA-2021-12-01-000875-c")</f>
        <v>UA-2021-12-01-000875-c</v>
      </c>
      <c r="C21" s="31" t="s">
        <v>154</v>
      </c>
      <c r="D21" s="31" t="s">
        <v>155</v>
      </c>
      <c r="E21" s="31" t="s">
        <v>12</v>
      </c>
      <c r="F21" s="32" t="n">
        <v>4052212</v>
      </c>
      <c r="G21" s="31" t="s">
        <v>156</v>
      </c>
      <c r="H21" s="31" t="s">
        <v>157</v>
      </c>
      <c r="I21" s="33" t="n">
        <v>22160</v>
      </c>
    </row>
    <row r="22" customFormat="false" ht="57.45" hidden="false" customHeight="false" outlineLevel="0" collapsed="false">
      <c r="A22" s="29" t="n">
        <v>44553</v>
      </c>
      <c r="B22" s="30" t="str">
        <f aca="false">HYPERLINK("https://my.zakupki.prom.ua/remote/dispatcher/state_purchase_view/33627333", "UA-2021-12-23-009266-c")</f>
        <v>UA-2021-12-23-009266-c</v>
      </c>
      <c r="C22" s="31" t="s">
        <v>25</v>
      </c>
      <c r="D22" s="31" t="s">
        <v>125</v>
      </c>
      <c r="E22" s="31" t="s">
        <v>12</v>
      </c>
      <c r="F22" s="32" t="n">
        <v>4052212</v>
      </c>
      <c r="G22" s="31" t="s">
        <v>224</v>
      </c>
      <c r="H22" s="31" t="s">
        <v>28</v>
      </c>
      <c r="I22" s="33" t="n">
        <v>534</v>
      </c>
    </row>
    <row r="23" customFormat="false" ht="57.45" hidden="false" customHeight="false" outlineLevel="0" collapsed="false">
      <c r="A23" s="29" t="n">
        <v>44553</v>
      </c>
      <c r="B23" s="30" t="str">
        <f aca="false">HYPERLINK("https://my.zakupki.prom.ua/remote/dispatcher/state_purchase_view/33630442", "UA-2021-12-23-010171-c")</f>
        <v>UA-2021-12-23-010171-c</v>
      </c>
      <c r="C23" s="31" t="s">
        <v>25</v>
      </c>
      <c r="D23" s="31" t="s">
        <v>148</v>
      </c>
      <c r="E23" s="31" t="s">
        <v>12</v>
      </c>
      <c r="F23" s="32" t="n">
        <v>4052212</v>
      </c>
      <c r="G23" s="31" t="s">
        <v>224</v>
      </c>
      <c r="H23" s="31" t="s">
        <v>28</v>
      </c>
      <c r="I23" s="33" t="n">
        <v>298</v>
      </c>
    </row>
    <row r="24" customFormat="false" ht="57.45" hidden="false" customHeight="false" outlineLevel="0" collapsed="false">
      <c r="A24" s="29" t="n">
        <v>44498</v>
      </c>
      <c r="B24" s="30" t="str">
        <f aca="false">HYPERLINK("https://my.zakupki.prom.ua/remote/dispatcher/state_purchase_view/31242371", "UA-2021-10-29-002582-a")</f>
        <v>UA-2021-10-29-002582-a</v>
      </c>
      <c r="C24" s="31" t="s">
        <v>25</v>
      </c>
      <c r="D24" s="31" t="s">
        <v>130</v>
      </c>
      <c r="E24" s="31" t="s">
        <v>12</v>
      </c>
      <c r="F24" s="32" t="n">
        <v>4052212</v>
      </c>
      <c r="G24" s="31" t="s">
        <v>224</v>
      </c>
      <c r="H24" s="31" t="s">
        <v>28</v>
      </c>
      <c r="I24" s="33" t="n">
        <v>357</v>
      </c>
    </row>
    <row r="25" customFormat="false" ht="57.45" hidden="false" customHeight="false" outlineLevel="0" collapsed="false">
      <c r="A25" s="29" t="n">
        <v>44466</v>
      </c>
      <c r="B25" s="30" t="str">
        <f aca="false">HYPERLINK("https://my.zakupki.prom.ua/remote/dispatcher/state_purchase_view/30258696", "UA-2021-09-27-006188-b")</f>
        <v>UA-2021-09-27-006188-b</v>
      </c>
      <c r="C25" s="31" t="s">
        <v>372</v>
      </c>
      <c r="D25" s="31" t="s">
        <v>193</v>
      </c>
      <c r="E25" s="31" t="s">
        <v>12</v>
      </c>
      <c r="F25" s="32" t="n">
        <v>4052212</v>
      </c>
      <c r="G25" s="31" t="s">
        <v>35</v>
      </c>
      <c r="H25" s="31" t="s">
        <v>36</v>
      </c>
      <c r="I25" s="33" t="n">
        <v>801</v>
      </c>
    </row>
    <row r="26" customFormat="false" ht="57.45" hidden="false" customHeight="false" outlineLevel="0" collapsed="false">
      <c r="A26" s="29" t="n">
        <v>44455</v>
      </c>
      <c r="B26" s="30" t="str">
        <f aca="false">HYPERLINK("https://my.zakupki.prom.ua/remote/dispatcher/state_purchase_view/29910638", "UA-2021-09-16-002156-b")</f>
        <v>UA-2021-09-16-002156-b</v>
      </c>
      <c r="C26" s="31" t="s">
        <v>389</v>
      </c>
      <c r="D26" s="31" t="s">
        <v>125</v>
      </c>
      <c r="E26" s="31" t="s">
        <v>12</v>
      </c>
      <c r="F26" s="32" t="n">
        <v>4052212</v>
      </c>
      <c r="G26" s="31" t="s">
        <v>150</v>
      </c>
      <c r="H26" s="31" t="s">
        <v>151</v>
      </c>
      <c r="I26" s="33" t="n">
        <v>97</v>
      </c>
    </row>
    <row r="27" customFormat="false" ht="57.45" hidden="false" customHeight="false" outlineLevel="0" collapsed="false">
      <c r="A27" s="29" t="n">
        <v>44522</v>
      </c>
      <c r="B27" s="30" t="str">
        <f aca="false">HYPERLINK("https://my.zakupki.prom.ua/remote/dispatcher/state_purchase_view/32046006", "UA-2021-11-22-004866-a")</f>
        <v>UA-2021-11-22-004866-a</v>
      </c>
      <c r="C27" s="31" t="s">
        <v>429</v>
      </c>
      <c r="D27" s="31" t="s">
        <v>251</v>
      </c>
      <c r="E27" s="31" t="s">
        <v>12</v>
      </c>
      <c r="F27" s="32" t="n">
        <v>4052212</v>
      </c>
      <c r="G27" s="31" t="s">
        <v>163</v>
      </c>
      <c r="H27" s="31" t="s">
        <v>164</v>
      </c>
      <c r="I27" s="33" t="n">
        <v>460</v>
      </c>
    </row>
    <row r="28" customFormat="false" ht="57.45" hidden="false" customHeight="false" outlineLevel="0" collapsed="false">
      <c r="A28" s="29" t="n">
        <v>44546</v>
      </c>
      <c r="B28" s="30" t="str">
        <f aca="false">HYPERLINK("https://my.zakupki.prom.ua/remote/dispatcher/state_purchase_view/33238864", "UA-2021-12-16-015205-c")</f>
        <v>UA-2021-12-16-015205-c</v>
      </c>
      <c r="C28" s="31" t="s">
        <v>443</v>
      </c>
      <c r="D28" s="31" t="s">
        <v>249</v>
      </c>
      <c r="E28" s="31" t="s">
        <v>12</v>
      </c>
      <c r="F28" s="32" t="n">
        <v>4052212</v>
      </c>
      <c r="G28" s="31" t="s">
        <v>95</v>
      </c>
      <c r="H28" s="31" t="s">
        <v>96</v>
      </c>
      <c r="I28" s="33" t="n">
        <v>2680</v>
      </c>
    </row>
    <row r="29" customFormat="false" ht="57.45" hidden="false" customHeight="false" outlineLevel="0" collapsed="false">
      <c r="A29" s="29" t="n">
        <v>44522</v>
      </c>
      <c r="B29" s="30" t="str">
        <f aca="false">HYPERLINK("https://my.zakupki.prom.ua/remote/dispatcher/state_purchase_view/32074563", "UA-2021-11-22-012913-a")</f>
        <v>UA-2021-11-22-012913-a</v>
      </c>
      <c r="C29" s="31" t="s">
        <v>444</v>
      </c>
      <c r="D29" s="31" t="s">
        <v>159</v>
      </c>
      <c r="E29" s="31" t="s">
        <v>12</v>
      </c>
      <c r="F29" s="32" t="n">
        <v>4052212</v>
      </c>
      <c r="G29" s="31" t="s">
        <v>160</v>
      </c>
      <c r="H29" s="31" t="s">
        <v>161</v>
      </c>
      <c r="I29" s="33" t="n">
        <v>2900</v>
      </c>
    </row>
    <row r="30" customFormat="false" ht="57.45" hidden="false" customHeight="false" outlineLevel="0" collapsed="false">
      <c r="A30" s="29" t="n">
        <v>44517</v>
      </c>
      <c r="B30" s="30" t="str">
        <f aca="false">HYPERLINK("https://my.zakupki.prom.ua/remote/dispatcher/state_purchase_view/31889483", "UA-2021-11-17-007460-a")</f>
        <v>UA-2021-11-17-007460-a</v>
      </c>
      <c r="C30" s="31" t="s">
        <v>423</v>
      </c>
      <c r="D30" s="31" t="s">
        <v>424</v>
      </c>
      <c r="E30" s="31" t="s">
        <v>12</v>
      </c>
      <c r="F30" s="32" t="n">
        <v>4052212</v>
      </c>
      <c r="G30" s="31" t="s">
        <v>425</v>
      </c>
      <c r="H30" s="31" t="s">
        <v>426</v>
      </c>
      <c r="I30" s="33" t="n">
        <v>73476.06</v>
      </c>
    </row>
    <row r="31" customFormat="false" ht="57.45" hidden="false" customHeight="false" outlineLevel="0" collapsed="false">
      <c r="A31" s="29" t="n">
        <v>44522</v>
      </c>
      <c r="B31" s="30" t="str">
        <f aca="false">HYPERLINK("https://my.zakupki.prom.ua/remote/dispatcher/state_purchase_view/32068105", "UA-2021-11-22-011109-a")</f>
        <v>UA-2021-11-22-011109-a</v>
      </c>
      <c r="C31" s="31" t="s">
        <v>429</v>
      </c>
      <c r="D31" s="31" t="s">
        <v>130</v>
      </c>
      <c r="E31" s="31" t="s">
        <v>12</v>
      </c>
      <c r="F31" s="32" t="n">
        <v>4052212</v>
      </c>
      <c r="G31" s="31" t="s">
        <v>163</v>
      </c>
      <c r="H31" s="31" t="s">
        <v>164</v>
      </c>
      <c r="I31" s="33" t="n">
        <v>275</v>
      </c>
    </row>
    <row r="32" customFormat="false" ht="124.6" hidden="false" customHeight="false" outlineLevel="0" collapsed="false">
      <c r="A32" s="29" t="n">
        <v>44463</v>
      </c>
      <c r="B32" s="30" t="str">
        <f aca="false">HYPERLINK("https://my.zakupki.prom.ua/remote/dispatcher/state_purchase_view/30214659", "UA-2021-09-24-007387-b")</f>
        <v>UA-2021-09-24-007387-b</v>
      </c>
      <c r="C32" s="31" t="s">
        <v>376</v>
      </c>
      <c r="D32" s="31" t="s">
        <v>90</v>
      </c>
      <c r="E32" s="31" t="s">
        <v>12</v>
      </c>
      <c r="F32" s="32" t="n">
        <v>4052212</v>
      </c>
      <c r="G32" s="31" t="s">
        <v>91</v>
      </c>
      <c r="H32" s="31" t="s">
        <v>92</v>
      </c>
      <c r="I32" s="33" t="n">
        <v>1480</v>
      </c>
    </row>
    <row r="33" customFormat="false" ht="236.55" hidden="false" customHeight="false" outlineLevel="0" collapsed="false">
      <c r="A33" s="29" t="n">
        <v>44467</v>
      </c>
      <c r="B33" s="30" t="str">
        <f aca="false">HYPERLINK("https://my.zakupki.prom.ua/remote/dispatcher/state_purchase_view/30316803", "UA-2021-09-28-010231-b")</f>
        <v>UA-2021-09-28-010231-b</v>
      </c>
      <c r="C33" s="31" t="s">
        <v>353</v>
      </c>
      <c r="D33" s="31" t="s">
        <v>354</v>
      </c>
      <c r="E33" s="31" t="s">
        <v>12</v>
      </c>
      <c r="F33" s="32" t="n">
        <v>4052212</v>
      </c>
      <c r="G33" s="31" t="s">
        <v>355</v>
      </c>
      <c r="H33" s="31" t="s">
        <v>356</v>
      </c>
      <c r="I33" s="33" t="n">
        <v>34500</v>
      </c>
    </row>
    <row r="34" customFormat="false" ht="57.45" hidden="false" customHeight="false" outlineLevel="0" collapsed="false">
      <c r="A34" s="29" t="n">
        <v>44488</v>
      </c>
      <c r="B34" s="30" t="str">
        <f aca="false">HYPERLINK("https://my.zakupki.prom.ua/remote/dispatcher/state_purchase_view/30877576", "UA-2021-10-19-013817-c")</f>
        <v>UA-2021-10-19-013817-c</v>
      </c>
      <c r="C34" s="31" t="s">
        <v>445</v>
      </c>
      <c r="D34" s="31" t="s">
        <v>159</v>
      </c>
      <c r="E34" s="31" t="s">
        <v>12</v>
      </c>
      <c r="F34" s="32" t="n">
        <v>4052212</v>
      </c>
      <c r="G34" s="31" t="s">
        <v>235</v>
      </c>
      <c r="H34" s="31" t="s">
        <v>161</v>
      </c>
      <c r="I34" s="33" t="n">
        <v>4405</v>
      </c>
    </row>
    <row r="35" customFormat="false" ht="57.45" hidden="false" customHeight="false" outlineLevel="0" collapsed="false">
      <c r="A35" s="29" t="n">
        <v>44543</v>
      </c>
      <c r="B35" s="30" t="str">
        <f aca="false">HYPERLINK("https://my.zakupki.prom.ua/remote/dispatcher/state_purchase_view/32977600", "UA-2021-12-13-006212-c")</f>
        <v>UA-2021-12-13-006212-c</v>
      </c>
      <c r="C35" s="31" t="s">
        <v>126</v>
      </c>
      <c r="D35" s="31" t="s">
        <v>218</v>
      </c>
      <c r="E35" s="31" t="s">
        <v>12</v>
      </c>
      <c r="F35" s="32" t="n">
        <v>4052212</v>
      </c>
      <c r="G35" s="31" t="s">
        <v>217</v>
      </c>
      <c r="H35" s="31" t="s">
        <v>208</v>
      </c>
      <c r="I35" s="33" t="n">
        <v>625</v>
      </c>
    </row>
    <row r="36" customFormat="false" ht="57.45" hidden="false" customHeight="false" outlineLevel="0" collapsed="false">
      <c r="A36" s="29" t="n">
        <v>44449</v>
      </c>
      <c r="B36" s="30" t="str">
        <f aca="false">HYPERLINK("https://my.zakupki.prom.ua/remote/dispatcher/state_purchase_view/29756836", "UA-2021-09-10-009800-c")</f>
        <v>UA-2021-09-10-009800-c</v>
      </c>
      <c r="C36" s="31" t="s">
        <v>378</v>
      </c>
      <c r="D36" s="31" t="s">
        <v>193</v>
      </c>
      <c r="E36" s="31" t="s">
        <v>12</v>
      </c>
      <c r="F36" s="32" t="n">
        <v>4052212</v>
      </c>
      <c r="G36" s="31" t="s">
        <v>348</v>
      </c>
      <c r="H36" s="31" t="s">
        <v>349</v>
      </c>
      <c r="I36" s="33" t="n">
        <v>140</v>
      </c>
    </row>
    <row r="37" customFormat="false" ht="57.45" hidden="false" customHeight="false" outlineLevel="0" collapsed="false">
      <c r="A37" s="29" t="n">
        <v>44553</v>
      </c>
      <c r="B37" s="30" t="str">
        <f aca="false">HYPERLINK("https://my.zakupki.prom.ua/remote/dispatcher/state_purchase_view/33629485", "UA-2021-12-23-009868-c")</f>
        <v>UA-2021-12-23-009868-c</v>
      </c>
      <c r="C37" s="31" t="s">
        <v>25</v>
      </c>
      <c r="D37" s="31" t="s">
        <v>193</v>
      </c>
      <c r="E37" s="31" t="s">
        <v>12</v>
      </c>
      <c r="F37" s="32" t="n">
        <v>4052212</v>
      </c>
      <c r="G37" s="31" t="s">
        <v>224</v>
      </c>
      <c r="H37" s="31" t="s">
        <v>28</v>
      </c>
      <c r="I37" s="33" t="n">
        <v>45</v>
      </c>
    </row>
    <row r="38" customFormat="false" ht="57.45" hidden="false" customHeight="false" outlineLevel="0" collapsed="false">
      <c r="A38" s="29" t="n">
        <v>44463</v>
      </c>
      <c r="B38" s="30" t="str">
        <f aca="false">HYPERLINK("https://my.zakupki.prom.ua/remote/dispatcher/state_purchase_view/30221699", "UA-2021-09-24-009527-b")</f>
        <v>UA-2021-09-24-009527-b</v>
      </c>
      <c r="C38" s="31" t="s">
        <v>379</v>
      </c>
      <c r="D38" s="31" t="s">
        <v>34</v>
      </c>
      <c r="E38" s="31" t="s">
        <v>12</v>
      </c>
      <c r="F38" s="32" t="n">
        <v>4052212</v>
      </c>
      <c r="G38" s="31" t="s">
        <v>35</v>
      </c>
      <c r="H38" s="31" t="s">
        <v>36</v>
      </c>
      <c r="I38" s="33" t="n">
        <v>1020</v>
      </c>
    </row>
    <row r="39" customFormat="false" ht="68.65" hidden="false" customHeight="false" outlineLevel="0" collapsed="false">
      <c r="A39" s="29" t="n">
        <v>44526</v>
      </c>
      <c r="B39" s="30" t="str">
        <f aca="false">HYPERLINK("https://my.zakupki.prom.ua/remote/dispatcher/state_purchase_view/32284332", "UA-2021-11-26-008805-a")</f>
        <v>UA-2021-11-26-008805-a</v>
      </c>
      <c r="C39" s="31" t="s">
        <v>446</v>
      </c>
      <c r="D39" s="31" t="s">
        <v>447</v>
      </c>
      <c r="E39" s="31" t="s">
        <v>12</v>
      </c>
      <c r="F39" s="32" t="n">
        <v>4052212</v>
      </c>
      <c r="G39" s="31" t="s">
        <v>448</v>
      </c>
      <c r="H39" s="31" t="s">
        <v>449</v>
      </c>
      <c r="I39" s="33" t="n">
        <v>49000</v>
      </c>
    </row>
    <row r="40" customFormat="false" ht="57.45" hidden="false" customHeight="false" outlineLevel="0" collapsed="false">
      <c r="A40" s="29" t="n">
        <v>44532</v>
      </c>
      <c r="B40" s="30" t="str">
        <f aca="false">HYPERLINK("https://my.zakupki.prom.ua/remote/dispatcher/state_purchase_view/32487910", "UA-2021-12-02-005802-c")</f>
        <v>UA-2021-12-02-005802-c</v>
      </c>
      <c r="C40" s="31" t="s">
        <v>365</v>
      </c>
      <c r="D40" s="31" t="s">
        <v>366</v>
      </c>
      <c r="E40" s="31" t="s">
        <v>12</v>
      </c>
      <c r="F40" s="32" t="n">
        <v>4052212</v>
      </c>
      <c r="G40" s="31" t="s">
        <v>348</v>
      </c>
      <c r="H40" s="31" t="s">
        <v>349</v>
      </c>
      <c r="I40" s="33" t="n">
        <v>152</v>
      </c>
    </row>
    <row r="41" customFormat="false" ht="57.45" hidden="false" customHeight="false" outlineLevel="0" collapsed="false">
      <c r="A41" s="29" t="n">
        <v>44475</v>
      </c>
      <c r="B41" s="30" t="str">
        <f aca="false">HYPERLINK("https://my.zakupki.prom.ua/remote/dispatcher/state_purchase_view/30528032", "UA-2021-10-06-005332-b")</f>
        <v>UA-2021-10-06-005332-b</v>
      </c>
      <c r="C41" s="31" t="s">
        <v>450</v>
      </c>
      <c r="D41" s="31" t="s">
        <v>313</v>
      </c>
      <c r="E41" s="31" t="s">
        <v>12</v>
      </c>
      <c r="F41" s="32" t="n">
        <v>4052212</v>
      </c>
      <c r="G41" s="31" t="s">
        <v>451</v>
      </c>
      <c r="H41" s="31" t="s">
        <v>452</v>
      </c>
      <c r="I41" s="33" t="n">
        <v>10068</v>
      </c>
    </row>
    <row r="42" customFormat="false" ht="57.45" hidden="false" customHeight="false" outlineLevel="0" collapsed="false">
      <c r="A42" s="29" t="n">
        <v>44460</v>
      </c>
      <c r="B42" s="30" t="str">
        <f aca="false">HYPERLINK("https://my.zakupki.prom.ua/remote/dispatcher/state_purchase_view/30069841", "UA-2021-09-21-008715-b")</f>
        <v>UA-2021-09-21-008715-b</v>
      </c>
      <c r="C42" s="31" t="s">
        <v>423</v>
      </c>
      <c r="D42" s="31" t="s">
        <v>424</v>
      </c>
      <c r="E42" s="31" t="s">
        <v>12</v>
      </c>
      <c r="F42" s="32" t="n">
        <v>4052212</v>
      </c>
      <c r="G42" s="31" t="s">
        <v>453</v>
      </c>
      <c r="H42" s="31" t="s">
        <v>454</v>
      </c>
      <c r="I42" s="33" t="n">
        <v>556670.34</v>
      </c>
    </row>
    <row r="43" customFormat="false" ht="57.45" hidden="false" customHeight="false" outlineLevel="0" collapsed="false">
      <c r="A43" s="29" t="n">
        <v>44498</v>
      </c>
      <c r="B43" s="30" t="str">
        <f aca="false">HYPERLINK("https://my.zakupki.prom.ua/remote/dispatcher/state_purchase_view/31237718", "UA-2021-10-29-001125-a")</f>
        <v>UA-2021-10-29-001125-a</v>
      </c>
      <c r="C43" s="31" t="s">
        <v>25</v>
      </c>
      <c r="D43" s="31" t="s">
        <v>84</v>
      </c>
      <c r="E43" s="31" t="s">
        <v>12</v>
      </c>
      <c r="F43" s="32" t="n">
        <v>4052212</v>
      </c>
      <c r="G43" s="31" t="s">
        <v>224</v>
      </c>
      <c r="H43" s="31" t="s">
        <v>28</v>
      </c>
      <c r="I43" s="33" t="n">
        <v>135</v>
      </c>
    </row>
    <row r="44" customFormat="false" ht="57.45" hidden="false" customHeight="false" outlineLevel="0" collapsed="false">
      <c r="A44" s="29" t="n">
        <v>44449</v>
      </c>
      <c r="B44" s="30" t="str">
        <f aca="false">HYPERLINK("https://my.zakupki.prom.ua/remote/dispatcher/state_purchase_view/29758299", "UA-2021-09-10-010239-c")</f>
        <v>UA-2021-09-10-010239-c</v>
      </c>
      <c r="C44" s="31" t="s">
        <v>262</v>
      </c>
      <c r="D44" s="31" t="s">
        <v>263</v>
      </c>
      <c r="E44" s="31" t="s">
        <v>12</v>
      </c>
      <c r="F44" s="32" t="n">
        <v>4052212</v>
      </c>
      <c r="G44" s="31" t="s">
        <v>346</v>
      </c>
      <c r="H44" s="31" t="s">
        <v>265</v>
      </c>
      <c r="I44" s="33" t="n">
        <v>2146.5</v>
      </c>
    </row>
    <row r="45" customFormat="false" ht="225.35" hidden="false" customHeight="false" outlineLevel="0" collapsed="false">
      <c r="A45" s="29" t="n">
        <v>44540</v>
      </c>
      <c r="B45" s="30" t="str">
        <f aca="false">HYPERLINK("https://my.zakupki.prom.ua/remote/dispatcher/state_purchase_view/32881602", "UA-2021-12-10-000842-c")</f>
        <v>UA-2021-12-10-000842-c</v>
      </c>
      <c r="C45" s="31" t="s">
        <v>455</v>
      </c>
      <c r="D45" s="31" t="s">
        <v>456</v>
      </c>
      <c r="E45" s="31" t="s">
        <v>12</v>
      </c>
      <c r="F45" s="32" t="n">
        <v>4052212</v>
      </c>
      <c r="G45" s="31" t="s">
        <v>457</v>
      </c>
      <c r="H45" s="31" t="s">
        <v>458</v>
      </c>
      <c r="I45" s="33" t="n">
        <v>27000</v>
      </c>
    </row>
    <row r="46" customFormat="false" ht="57.45" hidden="false" customHeight="false" outlineLevel="0" collapsed="false">
      <c r="A46" s="29" t="n">
        <v>44553</v>
      </c>
      <c r="B46" s="30" t="str">
        <f aca="false">HYPERLINK("https://my.zakupki.prom.ua/remote/dispatcher/state_purchase_view/33615667", "UA-2021-12-23-005922-c")</f>
        <v>UA-2021-12-23-005922-c</v>
      </c>
      <c r="C46" s="31" t="s">
        <v>459</v>
      </c>
      <c r="D46" s="31" t="s">
        <v>281</v>
      </c>
      <c r="E46" s="31" t="s">
        <v>12</v>
      </c>
      <c r="F46" s="32" t="n">
        <v>4052212</v>
      </c>
      <c r="G46" s="31" t="s">
        <v>460</v>
      </c>
      <c r="H46" s="31" t="s">
        <v>283</v>
      </c>
      <c r="I46" s="33" t="n">
        <v>780</v>
      </c>
    </row>
    <row r="47" customFormat="false" ht="57.45" hidden="false" customHeight="false" outlineLevel="0" collapsed="false">
      <c r="A47" s="29" t="n">
        <v>44532</v>
      </c>
      <c r="B47" s="30" t="str">
        <f aca="false">HYPERLINK("https://my.zakupki.prom.ua/remote/dispatcher/state_purchase_view/32502254", "UA-2021-12-02-009771-c")</f>
        <v>UA-2021-12-02-009771-c</v>
      </c>
      <c r="C47" s="31" t="s">
        <v>461</v>
      </c>
      <c r="D47" s="31" t="s">
        <v>249</v>
      </c>
      <c r="E47" s="31" t="s">
        <v>12</v>
      </c>
      <c r="F47" s="32" t="n">
        <v>4052212</v>
      </c>
      <c r="G47" s="31" t="s">
        <v>150</v>
      </c>
      <c r="H47" s="31" t="s">
        <v>151</v>
      </c>
      <c r="I47" s="33" t="n">
        <v>870</v>
      </c>
    </row>
    <row r="48" customFormat="false" ht="57.45" hidden="false" customHeight="false" outlineLevel="0" collapsed="false">
      <c r="A48" s="29" t="n">
        <v>44526</v>
      </c>
      <c r="B48" s="30" t="str">
        <f aca="false">HYPERLINK("https://my.zakupki.prom.ua/remote/dispatcher/state_purchase_view/32254583", "UA-2021-11-26-000304-a")</f>
        <v>UA-2021-11-26-000304-a</v>
      </c>
      <c r="C48" s="31" t="s">
        <v>434</v>
      </c>
      <c r="D48" s="31" t="s">
        <v>16</v>
      </c>
      <c r="E48" s="31" t="s">
        <v>12</v>
      </c>
      <c r="F48" s="32" t="n">
        <v>4052212</v>
      </c>
      <c r="G48" s="31" t="s">
        <v>462</v>
      </c>
      <c r="H48" s="31" t="s">
        <v>382</v>
      </c>
      <c r="I48" s="33" t="n">
        <v>9900</v>
      </c>
    </row>
    <row r="49" customFormat="false" ht="57.45" hidden="false" customHeight="false" outlineLevel="0" collapsed="false">
      <c r="A49" s="29" t="n">
        <v>44441</v>
      </c>
      <c r="B49" s="30" t="str">
        <f aca="false">HYPERLINK("https://my.zakupki.prom.ua/remote/dispatcher/state_purchase_view/29491551", "UA-2021-09-02-009299-a")</f>
        <v>UA-2021-09-02-009299-a</v>
      </c>
      <c r="C49" s="31" t="s">
        <v>288</v>
      </c>
      <c r="D49" s="31" t="s">
        <v>289</v>
      </c>
      <c r="E49" s="31" t="s">
        <v>12</v>
      </c>
      <c r="F49" s="32" t="n">
        <v>4052212</v>
      </c>
      <c r="G49" s="31" t="s">
        <v>290</v>
      </c>
      <c r="H49" s="31" t="s">
        <v>291</v>
      </c>
      <c r="I49" s="33" t="n">
        <v>24208</v>
      </c>
    </row>
    <row r="50" customFormat="false" ht="79.85" hidden="false" customHeight="false" outlineLevel="0" collapsed="false">
      <c r="A50" s="29" t="n">
        <v>44462</v>
      </c>
      <c r="B50" s="30" t="str">
        <f aca="false">HYPERLINK("https://my.zakupki.prom.ua/remote/dispatcher/state_purchase_view/30145527", "UA-2021-09-23-001819-b")</f>
        <v>UA-2021-09-23-001819-b</v>
      </c>
      <c r="C50" s="31" t="s">
        <v>375</v>
      </c>
      <c r="D50" s="31" t="s">
        <v>345</v>
      </c>
      <c r="E50" s="31" t="s">
        <v>12</v>
      </c>
      <c r="F50" s="32" t="n">
        <v>4052212</v>
      </c>
      <c r="G50" s="31" t="s">
        <v>91</v>
      </c>
      <c r="H50" s="31" t="s">
        <v>92</v>
      </c>
      <c r="I50" s="33" t="n">
        <v>680</v>
      </c>
    </row>
    <row r="51" customFormat="false" ht="57.45" hidden="false" customHeight="false" outlineLevel="0" collapsed="false">
      <c r="A51" s="29" t="n">
        <v>44522</v>
      </c>
      <c r="B51" s="30" t="str">
        <f aca="false">HYPERLINK("https://my.zakupki.prom.ua/remote/dispatcher/state_purchase_view/32044835", "UA-2021-11-22-004577-a")</f>
        <v>UA-2021-11-22-004577-a</v>
      </c>
      <c r="C51" s="31" t="s">
        <v>429</v>
      </c>
      <c r="D51" s="31" t="s">
        <v>463</v>
      </c>
      <c r="E51" s="31" t="s">
        <v>12</v>
      </c>
      <c r="F51" s="32" t="n">
        <v>4052212</v>
      </c>
      <c r="G51" s="31" t="s">
        <v>163</v>
      </c>
      <c r="H51" s="31" t="s">
        <v>164</v>
      </c>
      <c r="I51" s="33" t="n">
        <v>965</v>
      </c>
    </row>
    <row r="52" customFormat="false" ht="57.45" hidden="false" customHeight="false" outlineLevel="0" collapsed="false">
      <c r="A52" s="29" t="n">
        <v>44536</v>
      </c>
      <c r="B52" s="30" t="str">
        <f aca="false">HYPERLINK("https://my.zakupki.prom.ua/remote/dispatcher/state_purchase_view/32651340", "UA-2021-12-06-015674-c")</f>
        <v>UA-2021-12-06-015674-c</v>
      </c>
      <c r="C52" s="31" t="s">
        <v>444</v>
      </c>
      <c r="D52" s="31" t="s">
        <v>159</v>
      </c>
      <c r="E52" s="31" t="s">
        <v>12</v>
      </c>
      <c r="F52" s="32" t="n">
        <v>4052212</v>
      </c>
      <c r="G52" s="31" t="s">
        <v>364</v>
      </c>
      <c r="H52" s="31" t="s">
        <v>161</v>
      </c>
      <c r="I52" s="33" t="n">
        <v>2500</v>
      </c>
    </row>
    <row r="53" customFormat="false" ht="57.45" hidden="false" customHeight="false" outlineLevel="0" collapsed="false">
      <c r="A53" s="29" t="n">
        <v>44466</v>
      </c>
      <c r="B53" s="30" t="str">
        <f aca="false">HYPERLINK("https://my.zakupki.prom.ua/remote/dispatcher/state_purchase_view/30259976", "UA-2021-09-27-006591-b")</f>
        <v>UA-2021-09-27-006591-b</v>
      </c>
      <c r="C53" s="31" t="s">
        <v>319</v>
      </c>
      <c r="D53" s="31" t="s">
        <v>130</v>
      </c>
      <c r="E53" s="31" t="s">
        <v>12</v>
      </c>
      <c r="F53" s="32" t="n">
        <v>4052212</v>
      </c>
      <c r="G53" s="31" t="s">
        <v>163</v>
      </c>
      <c r="H53" s="31" t="s">
        <v>164</v>
      </c>
      <c r="I53" s="33" t="n">
        <v>480</v>
      </c>
    </row>
    <row r="54" customFormat="false" ht="57.45" hidden="false" customHeight="false" outlineLevel="0" collapsed="false">
      <c r="A54" s="29" t="n">
        <v>44543</v>
      </c>
      <c r="B54" s="30" t="str">
        <f aca="false">HYPERLINK("https://my.zakupki.prom.ua/remote/dispatcher/state_purchase_view/32976576", "UA-2021-12-13-005860-c")</f>
        <v>UA-2021-12-13-005860-c</v>
      </c>
      <c r="C54" s="31" t="s">
        <v>126</v>
      </c>
      <c r="D54" s="31" t="s">
        <v>98</v>
      </c>
      <c r="E54" s="31" t="s">
        <v>12</v>
      </c>
      <c r="F54" s="32" t="n">
        <v>4052212</v>
      </c>
      <c r="G54" s="31" t="s">
        <v>217</v>
      </c>
      <c r="H54" s="31" t="s">
        <v>208</v>
      </c>
      <c r="I54" s="33" t="n">
        <v>180</v>
      </c>
    </row>
    <row r="55" customFormat="false" ht="113.4" hidden="false" customHeight="false" outlineLevel="0" collapsed="false">
      <c r="A55" s="29" t="n">
        <v>44466</v>
      </c>
      <c r="B55" s="30" t="str">
        <f aca="false">HYPERLINK("https://my.zakupki.prom.ua/remote/dispatcher/state_purchase_view/30239784", "UA-2021-09-27-001101-b")</f>
        <v>UA-2021-09-27-001101-b</v>
      </c>
      <c r="C55" s="31" t="s">
        <v>411</v>
      </c>
      <c r="D55" s="31" t="s">
        <v>171</v>
      </c>
      <c r="E55" s="31" t="s">
        <v>12</v>
      </c>
      <c r="F55" s="32" t="n">
        <v>4052212</v>
      </c>
      <c r="G55" s="31" t="s">
        <v>172</v>
      </c>
      <c r="H55" s="31" t="s">
        <v>173</v>
      </c>
      <c r="I55" s="33" t="n">
        <v>32400</v>
      </c>
    </row>
    <row r="56" customFormat="false" ht="57.45" hidden="false" customHeight="false" outlineLevel="0" collapsed="false">
      <c r="A56" s="29" t="n">
        <v>44543</v>
      </c>
      <c r="B56" s="30" t="str">
        <f aca="false">HYPERLINK("https://my.zakupki.prom.ua/remote/dispatcher/state_purchase_view/32988919", "UA-2021-12-13-009535-c")</f>
        <v>UA-2021-12-13-009535-c</v>
      </c>
      <c r="C56" s="31" t="s">
        <v>126</v>
      </c>
      <c r="D56" s="31" t="s">
        <v>292</v>
      </c>
      <c r="E56" s="31" t="s">
        <v>12</v>
      </c>
      <c r="F56" s="32" t="n">
        <v>4052212</v>
      </c>
      <c r="G56" s="31" t="s">
        <v>217</v>
      </c>
      <c r="H56" s="31" t="s">
        <v>208</v>
      </c>
      <c r="I56" s="33" t="n">
        <v>602</v>
      </c>
    </row>
    <row r="57" customFormat="false" ht="91" hidden="false" customHeight="false" outlineLevel="0" collapsed="false">
      <c r="A57" s="29" t="n">
        <v>44510</v>
      </c>
      <c r="B57" s="30" t="str">
        <f aca="false">HYPERLINK("https://my.zakupki.prom.ua/remote/dispatcher/state_purchase_view/31605614", "UA-2021-11-10-000793-a")</f>
        <v>UA-2021-11-10-000793-a</v>
      </c>
      <c r="C57" s="31" t="s">
        <v>464</v>
      </c>
      <c r="D57" s="31" t="s">
        <v>465</v>
      </c>
      <c r="E57" s="31" t="s">
        <v>12</v>
      </c>
      <c r="F57" s="32" t="n">
        <v>4052212</v>
      </c>
      <c r="G57" s="31" t="s">
        <v>466</v>
      </c>
      <c r="H57" s="31" t="s">
        <v>467</v>
      </c>
      <c r="I57" s="33" t="n">
        <v>66216</v>
      </c>
    </row>
    <row r="58" customFormat="false" ht="135.8" hidden="false" customHeight="false" outlineLevel="0" collapsed="false">
      <c r="A58" s="29" t="n">
        <v>44461</v>
      </c>
      <c r="B58" s="30" t="str">
        <f aca="false">HYPERLINK("https://my.zakupki.prom.ua/remote/dispatcher/state_purchase_view/30089656", "UA-2021-09-22-000187-b")</f>
        <v>UA-2021-09-22-000187-b</v>
      </c>
      <c r="C58" s="31" t="s">
        <v>419</v>
      </c>
      <c r="D58" s="31" t="s">
        <v>171</v>
      </c>
      <c r="E58" s="31" t="s">
        <v>12</v>
      </c>
      <c r="F58" s="32" t="n">
        <v>4052212</v>
      </c>
      <c r="G58" s="31" t="s">
        <v>172</v>
      </c>
      <c r="H58" s="31" t="s">
        <v>173</v>
      </c>
      <c r="I58" s="33" t="n">
        <v>9504</v>
      </c>
    </row>
    <row r="59" customFormat="false" ht="57.45" hidden="false" customHeight="false" outlineLevel="0" collapsed="false">
      <c r="A59" s="29" t="n">
        <v>44508</v>
      </c>
      <c r="B59" s="30" t="str">
        <f aca="false">HYPERLINK("https://my.zakupki.prom.ua/remote/dispatcher/state_purchase_view/31527954", "UA-2021-11-08-008337-b")</f>
        <v>UA-2021-11-08-008337-b</v>
      </c>
      <c r="C59" s="31" t="s">
        <v>468</v>
      </c>
      <c r="D59" s="31" t="s">
        <v>469</v>
      </c>
      <c r="E59" s="31" t="s">
        <v>12</v>
      </c>
      <c r="F59" s="32" t="n">
        <v>4052212</v>
      </c>
      <c r="G59" s="31" t="s">
        <v>95</v>
      </c>
      <c r="H59" s="31" t="s">
        <v>96</v>
      </c>
      <c r="I59" s="33" t="n">
        <v>7427.5</v>
      </c>
    </row>
    <row r="60" customFormat="false" ht="57.45" hidden="false" customHeight="false" outlineLevel="0" collapsed="false">
      <c r="A60" s="29" t="n">
        <v>44473</v>
      </c>
      <c r="B60" s="30" t="str">
        <f aca="false">HYPERLINK("https://my.zakupki.prom.ua/remote/dispatcher/state_purchase_view/30451104", "UA-2021-10-04-006623-b")</f>
        <v>UA-2021-10-04-006623-b</v>
      </c>
      <c r="C60" s="31" t="s">
        <v>434</v>
      </c>
      <c r="D60" s="31" t="s">
        <v>470</v>
      </c>
      <c r="E60" s="31" t="s">
        <v>12</v>
      </c>
      <c r="F60" s="32" t="n">
        <v>4052212</v>
      </c>
      <c r="G60" s="31" t="s">
        <v>432</v>
      </c>
      <c r="H60" s="31" t="s">
        <v>433</v>
      </c>
      <c r="I60" s="33" t="n">
        <v>9000</v>
      </c>
    </row>
    <row r="61" customFormat="false" ht="57.45" hidden="false" customHeight="false" outlineLevel="0" collapsed="false">
      <c r="A61" s="29" t="n">
        <v>44466</v>
      </c>
      <c r="B61" s="30" t="str">
        <f aca="false">HYPERLINK("https://my.zakupki.prom.ua/remote/dispatcher/state_purchase_view/30244404", "UA-2021-09-27-002399-b")</f>
        <v>UA-2021-09-27-002399-b</v>
      </c>
      <c r="C61" s="31" t="s">
        <v>405</v>
      </c>
      <c r="D61" s="31" t="s">
        <v>11</v>
      </c>
      <c r="E61" s="31" t="s">
        <v>12</v>
      </c>
      <c r="F61" s="32" t="n">
        <v>4052212</v>
      </c>
      <c r="G61" s="31" t="s">
        <v>381</v>
      </c>
      <c r="H61" s="31" t="s">
        <v>382</v>
      </c>
      <c r="I61" s="33" t="n">
        <v>600</v>
      </c>
    </row>
    <row r="62" customFormat="false" ht="57.45" hidden="false" customHeight="false" outlineLevel="0" collapsed="false">
      <c r="A62" s="29" t="n">
        <v>44466</v>
      </c>
      <c r="B62" s="30" t="str">
        <f aca="false">HYPERLINK("https://my.zakupki.prom.ua/remote/dispatcher/state_purchase_view/30241673", "UA-2021-09-27-001621-b")</f>
        <v>UA-2021-09-27-001621-b</v>
      </c>
      <c r="C62" s="31" t="s">
        <v>152</v>
      </c>
      <c r="D62" s="31" t="s">
        <v>16</v>
      </c>
      <c r="E62" s="31" t="s">
        <v>12</v>
      </c>
      <c r="F62" s="32" t="n">
        <v>4052212</v>
      </c>
      <c r="G62" s="31" t="s">
        <v>14</v>
      </c>
      <c r="H62" s="31" t="s">
        <v>15</v>
      </c>
      <c r="I62" s="33" t="n">
        <v>1650</v>
      </c>
    </row>
    <row r="63" customFormat="false" ht="57.45" hidden="false" customHeight="false" outlineLevel="0" collapsed="false">
      <c r="A63" s="29" t="n">
        <v>44537</v>
      </c>
      <c r="B63" s="30" t="str">
        <f aca="false">HYPERLINK("https://my.zakupki.prom.ua/remote/dispatcher/state_purchase_view/32693683", "UA-2021-12-07-008589-c")</f>
        <v>UA-2021-12-07-008589-c</v>
      </c>
      <c r="C63" s="31" t="s">
        <v>152</v>
      </c>
      <c r="D63" s="31" t="s">
        <v>16</v>
      </c>
      <c r="E63" s="31" t="s">
        <v>12</v>
      </c>
      <c r="F63" s="32" t="n">
        <v>4052212</v>
      </c>
      <c r="G63" s="31" t="s">
        <v>14</v>
      </c>
      <c r="H63" s="31" t="s">
        <v>15</v>
      </c>
      <c r="I63" s="33" t="n">
        <v>1200</v>
      </c>
    </row>
    <row r="64" customFormat="false" ht="57.45" hidden="false" customHeight="false" outlineLevel="0" collapsed="false">
      <c r="A64" s="29" t="n">
        <v>44523</v>
      </c>
      <c r="B64" s="30" t="str">
        <f aca="false">HYPERLINK("https://my.zakupki.prom.ua/remote/dispatcher/state_purchase_view/32123252", "UA-2021-11-23-013913-a")</f>
        <v>UA-2021-11-23-013913-a</v>
      </c>
      <c r="C64" s="31" t="s">
        <v>126</v>
      </c>
      <c r="D64" s="31" t="s">
        <v>328</v>
      </c>
      <c r="E64" s="31" t="s">
        <v>12</v>
      </c>
      <c r="F64" s="32" t="n">
        <v>4052212</v>
      </c>
      <c r="G64" s="31" t="s">
        <v>217</v>
      </c>
      <c r="H64" s="31" t="s">
        <v>208</v>
      </c>
      <c r="I64" s="33" t="n">
        <v>66</v>
      </c>
    </row>
    <row r="65" customFormat="false" ht="57.45" hidden="false" customHeight="false" outlineLevel="0" collapsed="false">
      <c r="A65" s="29" t="n">
        <v>44517</v>
      </c>
      <c r="B65" s="30" t="str">
        <f aca="false">HYPERLINK("https://my.zakupki.prom.ua/remote/dispatcher/state_purchase_view/31867343", "UA-2021-11-17-001187-a")</f>
        <v>UA-2021-11-17-001187-a</v>
      </c>
      <c r="C65" s="31" t="s">
        <v>471</v>
      </c>
      <c r="D65" s="31" t="s">
        <v>472</v>
      </c>
      <c r="E65" s="31" t="s">
        <v>12</v>
      </c>
      <c r="F65" s="32" t="n">
        <v>4052212</v>
      </c>
      <c r="G65" s="31" t="s">
        <v>437</v>
      </c>
      <c r="H65" s="31" t="s">
        <v>438</v>
      </c>
      <c r="I65" s="33" t="n">
        <v>1822.5</v>
      </c>
    </row>
    <row r="66" customFormat="false" ht="57.45" hidden="false" customHeight="false" outlineLevel="0" collapsed="false">
      <c r="A66" s="29" t="n">
        <v>44491</v>
      </c>
      <c r="B66" s="30" t="str">
        <f aca="false">HYPERLINK("https://my.zakupki.prom.ua/remote/dispatcher/state_purchase_view/30997165", "UA-2021-10-22-004185-b")</f>
        <v>UA-2021-10-22-004185-b</v>
      </c>
      <c r="C66" s="31" t="s">
        <v>139</v>
      </c>
      <c r="D66" s="31" t="s">
        <v>473</v>
      </c>
      <c r="E66" s="31" t="s">
        <v>12</v>
      </c>
      <c r="F66" s="32" t="n">
        <v>4052212</v>
      </c>
      <c r="G66" s="31" t="s">
        <v>23</v>
      </c>
      <c r="H66" s="31" t="s">
        <v>24</v>
      </c>
      <c r="I66" s="33" t="n">
        <v>298.98</v>
      </c>
    </row>
    <row r="67" customFormat="false" ht="57.45" hidden="false" customHeight="false" outlineLevel="0" collapsed="false">
      <c r="A67" s="29" t="n">
        <v>44553</v>
      </c>
      <c r="B67" s="30" t="str">
        <f aca="false">HYPERLINK("https://my.zakupki.prom.ua/remote/dispatcher/state_purchase_view/33616881", "UA-2021-12-23-006251-c")</f>
        <v>UA-2021-12-23-006251-c</v>
      </c>
      <c r="C67" s="31" t="s">
        <v>474</v>
      </c>
      <c r="D67" s="31" t="s">
        <v>102</v>
      </c>
      <c r="E67" s="31" t="s">
        <v>12</v>
      </c>
      <c r="F67" s="32" t="n">
        <v>4052212</v>
      </c>
      <c r="G67" s="31" t="s">
        <v>119</v>
      </c>
      <c r="H67" s="31" t="s">
        <v>120</v>
      </c>
      <c r="I67" s="33" t="n">
        <v>5500</v>
      </c>
    </row>
    <row r="68" customFormat="false" ht="57.45" hidden="false" customHeight="false" outlineLevel="0" collapsed="false">
      <c r="A68" s="29" t="n">
        <v>44547</v>
      </c>
      <c r="B68" s="30" t="str">
        <f aca="false">HYPERLINK("https://my.zakupki.prom.ua/remote/dispatcher/state_purchase_view/33328695", "UA-2021-12-17-017688-c")</f>
        <v>UA-2021-12-17-017688-c</v>
      </c>
      <c r="C68" s="31" t="s">
        <v>475</v>
      </c>
      <c r="D68" s="31" t="s">
        <v>360</v>
      </c>
      <c r="E68" s="31" t="s">
        <v>12</v>
      </c>
      <c r="F68" s="32" t="n">
        <v>4052212</v>
      </c>
      <c r="G68" s="31" t="s">
        <v>23</v>
      </c>
      <c r="H68" s="31" t="s">
        <v>24</v>
      </c>
      <c r="I68" s="33" t="n">
        <v>538</v>
      </c>
    </row>
    <row r="69" customFormat="false" ht="57.45" hidden="false" customHeight="false" outlineLevel="0" collapsed="false">
      <c r="A69" s="29" t="n">
        <v>44477</v>
      </c>
      <c r="B69" s="30" t="str">
        <f aca="false">HYPERLINK("https://my.zakupki.prom.ua/remote/dispatcher/state_purchase_view/30639257", "UA-2021-10-08-010309-b")</f>
        <v>UA-2021-10-08-010309-b</v>
      </c>
      <c r="C69" s="31" t="s">
        <v>476</v>
      </c>
      <c r="D69" s="31" t="s">
        <v>477</v>
      </c>
      <c r="E69" s="31" t="s">
        <v>12</v>
      </c>
      <c r="F69" s="32" t="n">
        <v>4052212</v>
      </c>
      <c r="G69" s="31" t="s">
        <v>478</v>
      </c>
      <c r="H69" s="31" t="s">
        <v>479</v>
      </c>
      <c r="I69" s="33" t="n">
        <v>144275</v>
      </c>
    </row>
    <row r="70" customFormat="false" ht="68.65" hidden="false" customHeight="false" outlineLevel="0" collapsed="false">
      <c r="A70" s="29" t="n">
        <v>44474</v>
      </c>
      <c r="B70" s="30" t="str">
        <f aca="false">HYPERLINK("https://my.zakupki.prom.ua/remote/dispatcher/state_purchase_view/30499034", "UA-2021-10-05-011051-b")</f>
        <v>UA-2021-10-05-011051-b</v>
      </c>
      <c r="C70" s="31" t="s">
        <v>480</v>
      </c>
      <c r="D70" s="31" t="s">
        <v>481</v>
      </c>
      <c r="E70" s="31" t="s">
        <v>12</v>
      </c>
      <c r="F70" s="32" t="n">
        <v>4052212</v>
      </c>
      <c r="G70" s="31" t="s">
        <v>482</v>
      </c>
      <c r="H70" s="31" t="s">
        <v>483</v>
      </c>
      <c r="I70" s="33" t="n">
        <v>662</v>
      </c>
    </row>
    <row r="71" customFormat="false" ht="57.45" hidden="false" customHeight="false" outlineLevel="0" collapsed="false">
      <c r="A71" s="29" t="n">
        <v>44519</v>
      </c>
      <c r="B71" s="30" t="str">
        <f aca="false">HYPERLINK("https://my.zakupki.prom.ua/remote/dispatcher/state_purchase_view/32014491", "UA-2021-11-19-011966-a")</f>
        <v>UA-2021-11-19-011966-a</v>
      </c>
      <c r="C71" s="31" t="s">
        <v>484</v>
      </c>
      <c r="D71" s="31" t="s">
        <v>159</v>
      </c>
      <c r="E71" s="31" t="s">
        <v>12</v>
      </c>
      <c r="F71" s="32" t="n">
        <v>4052212</v>
      </c>
      <c r="G71" s="31" t="s">
        <v>364</v>
      </c>
      <c r="H71" s="31" t="s">
        <v>161</v>
      </c>
      <c r="I71" s="33" t="n">
        <v>2800</v>
      </c>
    </row>
    <row r="72" customFormat="false" ht="68.65" hidden="false" customHeight="false" outlineLevel="0" collapsed="false">
      <c r="A72" s="29" t="n">
        <v>44525</v>
      </c>
      <c r="B72" s="30" t="str">
        <f aca="false">HYPERLINK("https://my.zakupki.prom.ua/remote/dispatcher/state_purchase_view/32241327", "UA-2021-11-25-012824-a")</f>
        <v>UA-2021-11-25-012824-a</v>
      </c>
      <c r="C72" s="31" t="s">
        <v>485</v>
      </c>
      <c r="D72" s="31" t="s">
        <v>486</v>
      </c>
      <c r="E72" s="31" t="s">
        <v>12</v>
      </c>
      <c r="F72" s="32" t="n">
        <v>4052212</v>
      </c>
      <c r="G72" s="31" t="s">
        <v>487</v>
      </c>
      <c r="H72" s="31" t="s">
        <v>488</v>
      </c>
      <c r="I72" s="33" t="n">
        <v>5388</v>
      </c>
    </row>
    <row r="73" customFormat="false" ht="57.45" hidden="false" customHeight="false" outlineLevel="0" collapsed="false">
      <c r="A73" s="29" t="n">
        <v>44531</v>
      </c>
      <c r="B73" s="30" t="str">
        <f aca="false">HYPERLINK("https://my.zakupki.prom.ua/remote/dispatcher/state_purchase_view/32410721", "UA-2021-12-01-000277-c")</f>
        <v>UA-2021-12-01-000277-c</v>
      </c>
      <c r="C73" s="31" t="s">
        <v>310</v>
      </c>
      <c r="D73" s="31" t="s">
        <v>311</v>
      </c>
      <c r="E73" s="31" t="s">
        <v>12</v>
      </c>
      <c r="F73" s="32" t="n">
        <v>4052212</v>
      </c>
      <c r="G73" s="31" t="s">
        <v>290</v>
      </c>
      <c r="H73" s="31" t="s">
        <v>291</v>
      </c>
      <c r="I73" s="33" t="n">
        <v>1498.8</v>
      </c>
    </row>
    <row r="74" customFormat="false" ht="57.45" hidden="false" customHeight="false" outlineLevel="0" collapsed="false">
      <c r="A74" s="29" t="n">
        <v>44523</v>
      </c>
      <c r="B74" s="30" t="str">
        <f aca="false">HYPERLINK("https://my.zakupki.prom.ua/remote/dispatcher/state_purchase_view/32114609", "UA-2021-11-23-011294-a")</f>
        <v>UA-2021-11-23-011294-a</v>
      </c>
      <c r="C74" s="31" t="s">
        <v>126</v>
      </c>
      <c r="D74" s="31" t="s">
        <v>292</v>
      </c>
      <c r="E74" s="31" t="s">
        <v>12</v>
      </c>
      <c r="F74" s="32" t="n">
        <v>4052212</v>
      </c>
      <c r="G74" s="31" t="s">
        <v>217</v>
      </c>
      <c r="H74" s="31" t="s">
        <v>208</v>
      </c>
      <c r="I74" s="33" t="n">
        <v>835</v>
      </c>
    </row>
    <row r="75" customFormat="false" ht="57.45" hidden="false" customHeight="false" outlineLevel="0" collapsed="false">
      <c r="A75" s="29" t="n">
        <v>44553</v>
      </c>
      <c r="B75" s="30" t="str">
        <f aca="false">HYPERLINK("https://my.zakupki.prom.ua/remote/dispatcher/state_purchase_view/33626066", "UA-2021-12-23-008875-c")</f>
        <v>UA-2021-12-23-008875-c</v>
      </c>
      <c r="C75" s="31" t="s">
        <v>25</v>
      </c>
      <c r="D75" s="31" t="s">
        <v>318</v>
      </c>
      <c r="E75" s="31" t="s">
        <v>12</v>
      </c>
      <c r="F75" s="32" t="n">
        <v>4052212</v>
      </c>
      <c r="G75" s="31" t="s">
        <v>27</v>
      </c>
      <c r="H75" s="31" t="s">
        <v>28</v>
      </c>
      <c r="I75" s="33" t="n">
        <v>39</v>
      </c>
    </row>
    <row r="76" customFormat="false" ht="57.45" hidden="false" customHeight="false" outlineLevel="0" collapsed="false">
      <c r="A76" s="29" t="n">
        <v>44553</v>
      </c>
      <c r="B76" s="30" t="str">
        <f aca="false">HYPERLINK("https://my.zakupki.prom.ua/remote/dispatcher/state_purchase_view/33628451", "UA-2021-12-23-009599-c")</f>
        <v>UA-2021-12-23-009599-c</v>
      </c>
      <c r="C76" s="31" t="s">
        <v>25</v>
      </c>
      <c r="D76" s="31" t="s">
        <v>128</v>
      </c>
      <c r="E76" s="31" t="s">
        <v>12</v>
      </c>
      <c r="F76" s="32" t="n">
        <v>4052212</v>
      </c>
      <c r="G76" s="31" t="s">
        <v>224</v>
      </c>
      <c r="H76" s="31" t="s">
        <v>28</v>
      </c>
      <c r="I76" s="33" t="n">
        <v>41</v>
      </c>
    </row>
    <row r="77" customFormat="false" ht="57.45" hidden="false" customHeight="false" outlineLevel="0" collapsed="false">
      <c r="A77" s="29" t="n">
        <v>44473</v>
      </c>
      <c r="B77" s="30" t="str">
        <f aca="false">HYPERLINK("https://my.zakupki.prom.ua/remote/dispatcher/state_purchase_view/30448758", "UA-2021-10-04-005970-b")</f>
        <v>UA-2021-10-04-005970-b</v>
      </c>
      <c r="C77" s="31" t="s">
        <v>434</v>
      </c>
      <c r="D77" s="31" t="s">
        <v>269</v>
      </c>
      <c r="E77" s="31" t="s">
        <v>12</v>
      </c>
      <c r="F77" s="32" t="n">
        <v>4052212</v>
      </c>
      <c r="G77" s="31" t="s">
        <v>432</v>
      </c>
      <c r="H77" s="31" t="s">
        <v>433</v>
      </c>
      <c r="I77" s="33" t="n">
        <v>21000</v>
      </c>
    </row>
    <row r="78" customFormat="false" ht="57.45" hidden="false" customHeight="false" outlineLevel="0" collapsed="false">
      <c r="A78" s="29" t="n">
        <v>44498</v>
      </c>
      <c r="B78" s="30" t="str">
        <f aca="false">HYPERLINK("https://my.zakupki.prom.ua/remote/dispatcher/state_purchase_view/31256627", "UA-2021-10-29-007624-a")</f>
        <v>UA-2021-10-29-007624-a</v>
      </c>
      <c r="C78" s="31" t="s">
        <v>25</v>
      </c>
      <c r="D78" s="31" t="s">
        <v>193</v>
      </c>
      <c r="E78" s="31" t="s">
        <v>12</v>
      </c>
      <c r="F78" s="32" t="n">
        <v>4052212</v>
      </c>
      <c r="G78" s="31" t="s">
        <v>224</v>
      </c>
      <c r="H78" s="31" t="s">
        <v>28</v>
      </c>
      <c r="I78" s="33" t="n">
        <v>89</v>
      </c>
    </row>
    <row r="79" customFormat="false" ht="57.45" hidden="false" customHeight="false" outlineLevel="0" collapsed="false">
      <c r="A79" s="29" t="n">
        <v>44526</v>
      </c>
      <c r="B79" s="30" t="str">
        <f aca="false">HYPERLINK("https://my.zakupki.prom.ua/remote/dispatcher/state_purchase_view/32261458", "UA-2021-11-26-002262-a")</f>
        <v>UA-2021-11-26-002262-a</v>
      </c>
      <c r="C79" s="31" t="s">
        <v>489</v>
      </c>
      <c r="D79" s="31" t="s">
        <v>263</v>
      </c>
      <c r="E79" s="31" t="s">
        <v>12</v>
      </c>
      <c r="F79" s="32" t="n">
        <v>4052212</v>
      </c>
      <c r="G79" s="31" t="s">
        <v>490</v>
      </c>
      <c r="H79" s="31" t="s">
        <v>491</v>
      </c>
      <c r="I79" s="33" t="n">
        <v>34138</v>
      </c>
    </row>
    <row r="80" customFormat="false" ht="57.45" hidden="false" customHeight="false" outlineLevel="0" collapsed="false">
      <c r="A80" s="29" t="n">
        <v>44498</v>
      </c>
      <c r="B80" s="30" t="str">
        <f aca="false">HYPERLINK("https://my.zakupki.prom.ua/remote/dispatcher/state_purchase_view/31256496", "UA-2021-10-29-007528-a")</f>
        <v>UA-2021-10-29-007528-a</v>
      </c>
      <c r="C80" s="31" t="s">
        <v>25</v>
      </c>
      <c r="D80" s="31" t="s">
        <v>26</v>
      </c>
      <c r="E80" s="31" t="s">
        <v>12</v>
      </c>
      <c r="F80" s="32" t="n">
        <v>4052212</v>
      </c>
      <c r="G80" s="31" t="s">
        <v>224</v>
      </c>
      <c r="H80" s="31" t="s">
        <v>28</v>
      </c>
      <c r="I80" s="33" t="n">
        <v>3348</v>
      </c>
    </row>
    <row r="81" customFormat="false" ht="57.45" hidden="false" customHeight="false" outlineLevel="0" collapsed="false">
      <c r="A81" s="29" t="n">
        <v>44496</v>
      </c>
      <c r="B81" s="30" t="str">
        <f aca="false">HYPERLINK("https://my.zakupki.prom.ua/remote/dispatcher/state_purchase_view/31169357", "UA-2021-10-27-006160-a")</f>
        <v>UA-2021-10-27-006160-a</v>
      </c>
      <c r="C81" s="31" t="s">
        <v>444</v>
      </c>
      <c r="D81" s="31" t="s">
        <v>159</v>
      </c>
      <c r="E81" s="31" t="s">
        <v>12</v>
      </c>
      <c r="F81" s="32" t="n">
        <v>4052212</v>
      </c>
      <c r="G81" s="31" t="s">
        <v>235</v>
      </c>
      <c r="H81" s="31" t="s">
        <v>161</v>
      </c>
      <c r="I81" s="33" t="n">
        <v>2200</v>
      </c>
    </row>
    <row r="82" customFormat="false" ht="113.4" hidden="false" customHeight="false" outlineLevel="0" collapsed="false">
      <c r="A82" s="29" t="n">
        <v>44545</v>
      </c>
      <c r="B82" s="30" t="str">
        <f aca="false">HYPERLINK("https://my.zakupki.prom.ua/remote/dispatcher/state_purchase_view/33113251", "UA-2021-12-15-002080-c")</f>
        <v>UA-2021-12-15-002080-c</v>
      </c>
      <c r="C82" s="31" t="s">
        <v>492</v>
      </c>
      <c r="D82" s="31" t="s">
        <v>456</v>
      </c>
      <c r="E82" s="31" t="s">
        <v>12</v>
      </c>
      <c r="F82" s="32" t="n">
        <v>4052212</v>
      </c>
      <c r="G82" s="31" t="s">
        <v>457</v>
      </c>
      <c r="H82" s="31" t="s">
        <v>458</v>
      </c>
      <c r="I82" s="33" t="n">
        <v>4000</v>
      </c>
    </row>
    <row r="83" customFormat="false" ht="57.45" hidden="false" customHeight="false" outlineLevel="0" collapsed="false">
      <c r="A83" s="29" t="n">
        <v>44463</v>
      </c>
      <c r="B83" s="30" t="str">
        <f aca="false">HYPERLINK("https://my.zakupki.prom.ua/remote/dispatcher/state_purchase_view/30223208", "UA-2021-09-24-009999-b")</f>
        <v>UA-2021-09-24-009999-b</v>
      </c>
      <c r="C83" s="31" t="s">
        <v>262</v>
      </c>
      <c r="D83" s="31" t="s">
        <v>263</v>
      </c>
      <c r="E83" s="31" t="s">
        <v>12</v>
      </c>
      <c r="F83" s="32" t="n">
        <v>4052212</v>
      </c>
      <c r="G83" s="31" t="s">
        <v>346</v>
      </c>
      <c r="H83" s="31" t="s">
        <v>265</v>
      </c>
      <c r="I83" s="33" t="n">
        <v>6460</v>
      </c>
    </row>
    <row r="84" customFormat="false" ht="57.45" hidden="false" customHeight="false" outlineLevel="0" collapsed="false">
      <c r="A84" s="29" t="n">
        <v>44463</v>
      </c>
      <c r="B84" s="30" t="str">
        <f aca="false">HYPERLINK("https://my.zakupki.prom.ua/remote/dispatcher/state_purchase_view/30225389", "UA-2021-09-24-010639-b")</f>
        <v>UA-2021-09-24-010639-b</v>
      </c>
      <c r="C84" s="31" t="s">
        <v>347</v>
      </c>
      <c r="D84" s="31" t="s">
        <v>193</v>
      </c>
      <c r="E84" s="31" t="s">
        <v>12</v>
      </c>
      <c r="F84" s="32" t="n">
        <v>4052212</v>
      </c>
      <c r="G84" s="31" t="s">
        <v>348</v>
      </c>
      <c r="H84" s="31" t="s">
        <v>349</v>
      </c>
      <c r="I84" s="33" t="n">
        <v>715</v>
      </c>
    </row>
    <row r="85" customFormat="false" ht="57.45" hidden="false" customHeight="false" outlineLevel="0" collapsed="false">
      <c r="A85" s="29" t="n">
        <v>44449</v>
      </c>
      <c r="B85" s="30" t="str">
        <f aca="false">HYPERLINK("https://my.zakupki.prom.ua/remote/dispatcher/state_purchase_view/29755937", "UA-2021-09-10-009570-c")</f>
        <v>UA-2021-09-10-009570-c</v>
      </c>
      <c r="C85" s="31" t="s">
        <v>319</v>
      </c>
      <c r="D85" s="31" t="s">
        <v>130</v>
      </c>
      <c r="E85" s="31" t="s">
        <v>12</v>
      </c>
      <c r="F85" s="32" t="n">
        <v>4052212</v>
      </c>
      <c r="G85" s="31" t="s">
        <v>163</v>
      </c>
      <c r="H85" s="31" t="s">
        <v>164</v>
      </c>
      <c r="I85" s="33" t="n">
        <v>3100</v>
      </c>
    </row>
    <row r="86" customFormat="false" ht="57.45" hidden="false" customHeight="false" outlineLevel="0" collapsed="false">
      <c r="A86" s="29" t="n">
        <v>44553</v>
      </c>
      <c r="B86" s="30" t="str">
        <f aca="false">HYPERLINK("https://my.zakupki.prom.ua/remote/dispatcher/state_purchase_view/33633388", "UA-2021-12-23-011041-c")</f>
        <v>UA-2021-12-23-011041-c</v>
      </c>
      <c r="C86" s="31" t="s">
        <v>25</v>
      </c>
      <c r="D86" s="31" t="s">
        <v>133</v>
      </c>
      <c r="E86" s="31" t="s">
        <v>12</v>
      </c>
      <c r="F86" s="32" t="n">
        <v>4052212</v>
      </c>
      <c r="G86" s="31" t="s">
        <v>224</v>
      </c>
      <c r="H86" s="31" t="s">
        <v>28</v>
      </c>
      <c r="I86" s="33" t="n">
        <v>184.68</v>
      </c>
    </row>
    <row r="87" customFormat="false" ht="57.45" hidden="false" customHeight="false" outlineLevel="0" collapsed="false">
      <c r="A87" s="29" t="n">
        <v>44538</v>
      </c>
      <c r="B87" s="30" t="str">
        <f aca="false">HYPERLINK("https://my.zakupki.prom.ua/remote/dispatcher/state_purchase_view/32784278", "UA-2021-12-08-017837-c")</f>
        <v>UA-2021-12-08-017837-c</v>
      </c>
      <c r="C87" s="31" t="s">
        <v>85</v>
      </c>
      <c r="D87" s="31" t="s">
        <v>360</v>
      </c>
      <c r="E87" s="31" t="s">
        <v>12</v>
      </c>
      <c r="F87" s="32" t="n">
        <v>4052212</v>
      </c>
      <c r="G87" s="31" t="s">
        <v>23</v>
      </c>
      <c r="H87" s="31" t="s">
        <v>24</v>
      </c>
      <c r="I87" s="33" t="n">
        <v>4800</v>
      </c>
    </row>
    <row r="88" customFormat="false" ht="57.45" hidden="false" customHeight="false" outlineLevel="0" collapsed="false">
      <c r="A88" s="29" t="n">
        <v>44547</v>
      </c>
      <c r="B88" s="30" t="str">
        <f aca="false">HYPERLINK("https://my.zakupki.prom.ua/remote/dispatcher/state_purchase_view/33285102", "UA-2021-12-17-004728-c")</f>
        <v>UA-2021-12-17-004728-c</v>
      </c>
      <c r="C88" s="31" t="s">
        <v>493</v>
      </c>
      <c r="D88" s="31" t="s">
        <v>311</v>
      </c>
      <c r="E88" s="31" t="s">
        <v>12</v>
      </c>
      <c r="F88" s="32" t="n">
        <v>4052212</v>
      </c>
      <c r="G88" s="31" t="s">
        <v>290</v>
      </c>
      <c r="H88" s="31" t="s">
        <v>291</v>
      </c>
      <c r="I88" s="33" t="n">
        <v>1077.6</v>
      </c>
    </row>
    <row r="89" customFormat="false" ht="57.45" hidden="false" customHeight="false" outlineLevel="0" collapsed="false">
      <c r="A89" s="29" t="n">
        <v>44448</v>
      </c>
      <c r="B89" s="30" t="str">
        <f aca="false">HYPERLINK("https://my.zakupki.prom.ua/remote/dispatcher/state_purchase_view/29717830", "UA-2021-09-09-012020-c")</f>
        <v>UA-2021-09-09-012020-c</v>
      </c>
      <c r="C89" s="31" t="s">
        <v>365</v>
      </c>
      <c r="D89" s="31" t="s">
        <v>366</v>
      </c>
      <c r="E89" s="31" t="s">
        <v>12</v>
      </c>
      <c r="F89" s="32" t="n">
        <v>4052212</v>
      </c>
      <c r="G89" s="31" t="s">
        <v>348</v>
      </c>
      <c r="H89" s="31" t="s">
        <v>349</v>
      </c>
      <c r="I89" s="33" t="n">
        <v>190</v>
      </c>
    </row>
    <row r="90" customFormat="false" ht="91" hidden="false" customHeight="false" outlineLevel="0" collapsed="false">
      <c r="A90" s="29" t="n">
        <v>44508</v>
      </c>
      <c r="B90" s="30" t="str">
        <f aca="false">HYPERLINK("https://my.zakupki.prom.ua/remote/dispatcher/state_purchase_view/31530370", "UA-2021-11-08-009189-b")</f>
        <v>UA-2021-11-08-009189-b</v>
      </c>
      <c r="C90" s="31" t="s">
        <v>494</v>
      </c>
      <c r="D90" s="31" t="s">
        <v>495</v>
      </c>
      <c r="E90" s="31" t="s">
        <v>12</v>
      </c>
      <c r="F90" s="32" t="n">
        <v>4052212</v>
      </c>
      <c r="G90" s="31" t="s">
        <v>496</v>
      </c>
      <c r="H90" s="31" t="s">
        <v>497</v>
      </c>
      <c r="I90" s="33" t="n">
        <v>12939</v>
      </c>
    </row>
    <row r="91" customFormat="false" ht="57.45" hidden="false" customHeight="false" outlineLevel="0" collapsed="false">
      <c r="A91" s="29" t="n">
        <v>44498</v>
      </c>
      <c r="B91" s="30" t="str">
        <f aca="false">HYPERLINK("https://my.zakupki.prom.ua/remote/dispatcher/state_purchase_view/31244162", "UA-2021-10-29-003200-a")</f>
        <v>UA-2021-10-29-003200-a</v>
      </c>
      <c r="C91" s="31" t="s">
        <v>25</v>
      </c>
      <c r="D91" s="31" t="s">
        <v>272</v>
      </c>
      <c r="E91" s="31" t="s">
        <v>12</v>
      </c>
      <c r="F91" s="32" t="n">
        <v>4052212</v>
      </c>
      <c r="G91" s="31" t="s">
        <v>224</v>
      </c>
      <c r="H91" s="31" t="s">
        <v>28</v>
      </c>
      <c r="I91" s="33" t="n">
        <v>524</v>
      </c>
    </row>
    <row r="92" customFormat="false" ht="57.45" hidden="false" customHeight="false" outlineLevel="0" collapsed="false">
      <c r="A92" s="29" t="n">
        <v>44467</v>
      </c>
      <c r="B92" s="30" t="str">
        <f aca="false">HYPERLINK("https://my.zakupki.prom.ua/remote/dispatcher/state_purchase_view/30303919", "UA-2021-09-28-006530-b")</f>
        <v>UA-2021-09-28-006530-b</v>
      </c>
      <c r="C92" s="31" t="s">
        <v>379</v>
      </c>
      <c r="D92" s="31" t="s">
        <v>34</v>
      </c>
      <c r="E92" s="31" t="s">
        <v>12</v>
      </c>
      <c r="F92" s="32" t="n">
        <v>4052212</v>
      </c>
      <c r="G92" s="31" t="s">
        <v>35</v>
      </c>
      <c r="H92" s="31" t="s">
        <v>36</v>
      </c>
      <c r="I92" s="33" t="n">
        <v>582</v>
      </c>
    </row>
    <row r="93" customFormat="false" ht="57.45" hidden="false" customHeight="false" outlineLevel="0" collapsed="false">
      <c r="A93" s="29" t="n">
        <v>44447</v>
      </c>
      <c r="B93" s="30" t="str">
        <f aca="false">HYPERLINK("https://my.zakupki.prom.ua/remote/dispatcher/state_purchase_view/29651740", "UA-2021-09-08-006100-c")</f>
        <v>UA-2021-09-08-006100-c</v>
      </c>
      <c r="C93" s="31" t="s">
        <v>158</v>
      </c>
      <c r="D93" s="31" t="s">
        <v>159</v>
      </c>
      <c r="E93" s="31" t="s">
        <v>12</v>
      </c>
      <c r="F93" s="32" t="n">
        <v>4052212</v>
      </c>
      <c r="G93" s="31" t="s">
        <v>364</v>
      </c>
      <c r="H93" s="31" t="s">
        <v>161</v>
      </c>
      <c r="I93" s="33" t="n">
        <v>430</v>
      </c>
    </row>
    <row r="94" customFormat="false" ht="57.45" hidden="false" customHeight="false" outlineLevel="0" collapsed="false">
      <c r="A94" s="29" t="n">
        <v>44441</v>
      </c>
      <c r="B94" s="30" t="str">
        <f aca="false">HYPERLINK("https://my.zakupki.prom.ua/remote/dispatcher/state_purchase_view/29473242", "UA-2021-09-02-003746-a")</f>
        <v>UA-2021-09-02-003746-a</v>
      </c>
      <c r="C94" s="31" t="s">
        <v>361</v>
      </c>
      <c r="D94" s="31" t="s">
        <v>232</v>
      </c>
      <c r="E94" s="31" t="s">
        <v>12</v>
      </c>
      <c r="F94" s="32" t="n">
        <v>4052212</v>
      </c>
      <c r="G94" s="31" t="s">
        <v>362</v>
      </c>
      <c r="H94" s="31" t="s">
        <v>363</v>
      </c>
      <c r="I94" s="33" t="n">
        <v>20625</v>
      </c>
    </row>
    <row r="95" customFormat="false" ht="57.45" hidden="false" customHeight="false" outlineLevel="0" collapsed="false">
      <c r="A95" s="29" t="n">
        <v>44473</v>
      </c>
      <c r="B95" s="30" t="str">
        <f aca="false">HYPERLINK("https://my.zakupki.prom.ua/remote/dispatcher/state_purchase_view/30463646", "UA-2021-10-04-010464-b")</f>
        <v>UA-2021-10-04-010464-b</v>
      </c>
      <c r="C95" s="31" t="s">
        <v>498</v>
      </c>
      <c r="D95" s="31" t="s">
        <v>220</v>
      </c>
      <c r="E95" s="31" t="s">
        <v>12</v>
      </c>
      <c r="F95" s="32" t="n">
        <v>4052212</v>
      </c>
      <c r="G95" s="31" t="s">
        <v>221</v>
      </c>
      <c r="H95" s="31" t="s">
        <v>222</v>
      </c>
      <c r="I95" s="33" t="n">
        <v>681</v>
      </c>
    </row>
    <row r="96" customFormat="false" ht="57.45" hidden="false" customHeight="false" outlineLevel="0" collapsed="false">
      <c r="A96" s="29" t="n">
        <v>44553</v>
      </c>
      <c r="B96" s="30" t="str">
        <f aca="false">HYPERLINK("https://my.zakupki.prom.ua/remote/dispatcher/state_purchase_view/33626903", "UA-2021-12-23-009096-c")</f>
        <v>UA-2021-12-23-009096-c</v>
      </c>
      <c r="C96" s="31" t="s">
        <v>25</v>
      </c>
      <c r="D96" s="31" t="s">
        <v>130</v>
      </c>
      <c r="E96" s="31" t="s">
        <v>12</v>
      </c>
      <c r="F96" s="32" t="n">
        <v>4052212</v>
      </c>
      <c r="G96" s="31" t="s">
        <v>224</v>
      </c>
      <c r="H96" s="31" t="s">
        <v>28</v>
      </c>
      <c r="I96" s="33" t="n">
        <v>162.39</v>
      </c>
    </row>
    <row r="97" customFormat="false" ht="57.45" hidden="false" customHeight="false" outlineLevel="0" collapsed="false">
      <c r="A97" s="29" t="n">
        <v>44553</v>
      </c>
      <c r="B97" s="30" t="str">
        <f aca="false">HYPERLINK("https://my.zakupki.prom.ua/remote/dispatcher/state_purchase_view/33634772", "UA-2021-12-23-011413-c")</f>
        <v>UA-2021-12-23-011413-c</v>
      </c>
      <c r="C97" s="31" t="s">
        <v>25</v>
      </c>
      <c r="D97" s="31" t="s">
        <v>84</v>
      </c>
      <c r="E97" s="31" t="s">
        <v>12</v>
      </c>
      <c r="F97" s="32" t="n">
        <v>4052212</v>
      </c>
      <c r="G97" s="31" t="s">
        <v>224</v>
      </c>
      <c r="H97" s="31" t="s">
        <v>28</v>
      </c>
      <c r="I97" s="33" t="n">
        <v>105</v>
      </c>
    </row>
    <row r="98" customFormat="false" ht="57.45" hidden="false" customHeight="false" outlineLevel="0" collapsed="false">
      <c r="A98" s="29" t="n">
        <v>44498</v>
      </c>
      <c r="B98" s="30" t="str">
        <f aca="false">HYPERLINK("https://my.zakupki.prom.ua/remote/dispatcher/state_purchase_view/31252184", "UA-2021-10-29-006022-a")</f>
        <v>UA-2021-10-29-006022-a</v>
      </c>
      <c r="C98" s="31" t="s">
        <v>25</v>
      </c>
      <c r="D98" s="31" t="s">
        <v>128</v>
      </c>
      <c r="E98" s="31" t="s">
        <v>12</v>
      </c>
      <c r="F98" s="32" t="n">
        <v>4052212</v>
      </c>
      <c r="G98" s="31" t="s">
        <v>224</v>
      </c>
      <c r="H98" s="31" t="s">
        <v>28</v>
      </c>
      <c r="I98" s="33" t="n">
        <v>750</v>
      </c>
    </row>
    <row r="99" customFormat="false" ht="57.45" hidden="false" customHeight="false" outlineLevel="0" collapsed="false">
      <c r="A99" s="29" t="n">
        <v>44468</v>
      </c>
      <c r="B99" s="30" t="str">
        <f aca="false">HYPERLINK("https://my.zakupki.prom.ua/remote/dispatcher/state_purchase_view/30334829", "UA-2021-09-29-003348-b")</f>
        <v>UA-2021-09-29-003348-b</v>
      </c>
      <c r="C99" s="31" t="s">
        <v>350</v>
      </c>
      <c r="D99" s="31" t="s">
        <v>366</v>
      </c>
      <c r="E99" s="31" t="s">
        <v>12</v>
      </c>
      <c r="F99" s="32" t="n">
        <v>4052212</v>
      </c>
      <c r="G99" s="31" t="s">
        <v>351</v>
      </c>
      <c r="H99" s="31" t="s">
        <v>352</v>
      </c>
      <c r="I99" s="33" t="n">
        <v>3800</v>
      </c>
    </row>
    <row r="100" customFormat="false" ht="57.45" hidden="false" customHeight="false" outlineLevel="0" collapsed="false">
      <c r="A100" s="29" t="n">
        <v>44467</v>
      </c>
      <c r="B100" s="30" t="str">
        <f aca="false">HYPERLINK("https://my.zakupki.prom.ua/remote/dispatcher/state_purchase_view/30302228", "UA-2021-09-28-006055-b")</f>
        <v>UA-2021-09-28-006055-b</v>
      </c>
      <c r="C100" s="31" t="s">
        <v>285</v>
      </c>
      <c r="D100" s="31" t="s">
        <v>267</v>
      </c>
      <c r="E100" s="31" t="s">
        <v>12</v>
      </c>
      <c r="F100" s="32" t="n">
        <v>4052212</v>
      </c>
      <c r="G100" s="31" t="s">
        <v>286</v>
      </c>
      <c r="H100" s="31" t="s">
        <v>287</v>
      </c>
      <c r="I100" s="33" t="n">
        <v>200</v>
      </c>
    </row>
    <row r="101" customFormat="false" ht="57.45" hidden="false" customHeight="false" outlineLevel="0" collapsed="false">
      <c r="A101" s="29" t="n">
        <v>44475</v>
      </c>
      <c r="B101" s="30" t="str">
        <f aca="false">HYPERLINK("https://my.zakupki.prom.ua/remote/dispatcher/state_purchase_view/30542554", "UA-2021-10-06-010169-b")</f>
        <v>UA-2021-10-06-010169-b</v>
      </c>
      <c r="C101" s="31" t="s">
        <v>499</v>
      </c>
      <c r="D101" s="31" t="s">
        <v>204</v>
      </c>
      <c r="E101" s="31" t="s">
        <v>12</v>
      </c>
      <c r="F101" s="32" t="n">
        <v>4052212</v>
      </c>
      <c r="G101" s="31" t="s">
        <v>205</v>
      </c>
      <c r="H101" s="31" t="s">
        <v>206</v>
      </c>
      <c r="I101" s="33" t="n">
        <v>5000</v>
      </c>
    </row>
    <row r="102" customFormat="false" ht="57.45" hidden="false" customHeight="false" outlineLevel="0" collapsed="false">
      <c r="A102" s="29" t="n">
        <v>44447</v>
      </c>
      <c r="B102" s="30" t="str">
        <f aca="false">HYPERLINK("https://my.zakupki.prom.ua/remote/dispatcher/state_purchase_view/29659567", "UA-2021-09-08-008454-c")</f>
        <v>UA-2021-09-08-008454-c</v>
      </c>
      <c r="C102" s="31" t="s">
        <v>390</v>
      </c>
      <c r="D102" s="31" t="s">
        <v>34</v>
      </c>
      <c r="E102" s="31" t="s">
        <v>12</v>
      </c>
      <c r="F102" s="32" t="n">
        <v>4052212</v>
      </c>
      <c r="G102" s="31" t="s">
        <v>286</v>
      </c>
      <c r="H102" s="31" t="s">
        <v>287</v>
      </c>
      <c r="I102" s="33" t="n">
        <v>600</v>
      </c>
    </row>
    <row r="103" customFormat="false" ht="57.45" hidden="false" customHeight="false" outlineLevel="0" collapsed="false">
      <c r="A103" s="29" t="n">
        <v>44473</v>
      </c>
      <c r="B103" s="30" t="str">
        <f aca="false">HYPERLINK("https://my.zakupki.prom.ua/remote/dispatcher/state_purchase_view/30458649", "UA-2021-10-04-008862-b")</f>
        <v>UA-2021-10-04-008862-b</v>
      </c>
      <c r="C103" s="31" t="s">
        <v>152</v>
      </c>
      <c r="D103" s="31" t="s">
        <v>16</v>
      </c>
      <c r="E103" s="31" t="s">
        <v>12</v>
      </c>
      <c r="F103" s="32" t="n">
        <v>4052212</v>
      </c>
      <c r="G103" s="31" t="s">
        <v>14</v>
      </c>
      <c r="H103" s="31" t="s">
        <v>15</v>
      </c>
      <c r="I103" s="33" t="n">
        <v>2000</v>
      </c>
    </row>
    <row r="104" customFormat="false" ht="57.45" hidden="false" customHeight="false" outlineLevel="0" collapsed="false">
      <c r="A104" s="29" t="n">
        <v>44523</v>
      </c>
      <c r="B104" s="30" t="str">
        <f aca="false">HYPERLINK("https://my.zakupki.prom.ua/remote/dispatcher/state_purchase_view/32105310", "UA-2021-11-23-008089-a")</f>
        <v>UA-2021-11-23-008089-a</v>
      </c>
      <c r="C104" s="31" t="s">
        <v>126</v>
      </c>
      <c r="D104" s="31" t="s">
        <v>218</v>
      </c>
      <c r="E104" s="31" t="s">
        <v>12</v>
      </c>
      <c r="F104" s="32" t="n">
        <v>4052212</v>
      </c>
      <c r="G104" s="31" t="s">
        <v>217</v>
      </c>
      <c r="H104" s="31" t="s">
        <v>208</v>
      </c>
      <c r="I104" s="33" t="n">
        <v>425</v>
      </c>
    </row>
    <row r="105" customFormat="false" ht="57.45" hidden="false" customHeight="false" outlineLevel="0" collapsed="false">
      <c r="A105" s="29" t="n">
        <v>44449</v>
      </c>
      <c r="B105" s="30" t="str">
        <f aca="false">HYPERLINK("https://my.zakupki.prom.ua/remote/dispatcher/state_purchase_view/29739837", "UA-2021-09-10-004973-c")</f>
        <v>UA-2021-09-10-004973-c</v>
      </c>
      <c r="C105" s="31" t="s">
        <v>399</v>
      </c>
      <c r="D105" s="31" t="s">
        <v>130</v>
      </c>
      <c r="E105" s="31" t="s">
        <v>12</v>
      </c>
      <c r="F105" s="32" t="n">
        <v>4052212</v>
      </c>
      <c r="G105" s="31" t="s">
        <v>257</v>
      </c>
      <c r="H105" s="31" t="s">
        <v>258</v>
      </c>
      <c r="I105" s="33" t="n">
        <v>2678</v>
      </c>
    </row>
    <row r="106" customFormat="false" ht="236.55" hidden="false" customHeight="false" outlineLevel="0" collapsed="false">
      <c r="A106" s="29" t="n">
        <v>44467</v>
      </c>
      <c r="B106" s="30" t="str">
        <f aca="false">HYPERLINK("https://my.zakupki.prom.ua/remote/dispatcher/state_purchase_view/30313980", "UA-2021-09-28-009378-b")</f>
        <v>UA-2021-09-28-009378-b</v>
      </c>
      <c r="C106" s="31" t="s">
        <v>412</v>
      </c>
      <c r="D106" s="31" t="s">
        <v>413</v>
      </c>
      <c r="E106" s="31" t="s">
        <v>12</v>
      </c>
      <c r="F106" s="32" t="n">
        <v>4052212</v>
      </c>
      <c r="G106" s="31" t="s">
        <v>355</v>
      </c>
      <c r="H106" s="31" t="s">
        <v>356</v>
      </c>
      <c r="I106" s="33" t="n">
        <v>34650</v>
      </c>
    </row>
    <row r="107" customFormat="false" ht="57.45" hidden="false" customHeight="false" outlineLevel="0" collapsed="false">
      <c r="A107" s="29" t="n">
        <v>44468</v>
      </c>
      <c r="B107" s="30" t="str">
        <f aca="false">HYPERLINK("https://my.zakupki.prom.ua/remote/dispatcher/state_purchase_view/30335237", "UA-2021-09-29-003455-b")</f>
        <v>UA-2021-09-29-003455-b</v>
      </c>
      <c r="C107" s="31" t="s">
        <v>350</v>
      </c>
      <c r="D107" s="31" t="s">
        <v>34</v>
      </c>
      <c r="E107" s="31" t="s">
        <v>12</v>
      </c>
      <c r="F107" s="32" t="n">
        <v>4052212</v>
      </c>
      <c r="G107" s="31" t="s">
        <v>351</v>
      </c>
      <c r="H107" s="31" t="s">
        <v>352</v>
      </c>
      <c r="I107" s="33" t="n">
        <v>1800</v>
      </c>
    </row>
    <row r="108" customFormat="false" ht="57.45" hidden="false" customHeight="false" outlineLevel="0" collapsed="false">
      <c r="A108" s="29" t="n">
        <v>44498</v>
      </c>
      <c r="B108" s="30" t="str">
        <f aca="false">HYPERLINK("https://my.zakupki.prom.ua/remote/dispatcher/state_purchase_view/31254701", "UA-2021-10-29-006879-a")</f>
        <v>UA-2021-10-29-006879-a</v>
      </c>
      <c r="C108" s="31" t="s">
        <v>25</v>
      </c>
      <c r="D108" s="31" t="s">
        <v>105</v>
      </c>
      <c r="E108" s="31" t="s">
        <v>12</v>
      </c>
      <c r="F108" s="32" t="n">
        <v>4052212</v>
      </c>
      <c r="G108" s="31" t="s">
        <v>224</v>
      </c>
      <c r="H108" s="31" t="s">
        <v>28</v>
      </c>
      <c r="I108" s="33" t="n">
        <v>248</v>
      </c>
    </row>
    <row r="109" customFormat="false" ht="57.45" hidden="false" customHeight="false" outlineLevel="0" collapsed="false">
      <c r="A109" s="29" t="n">
        <v>44467</v>
      </c>
      <c r="B109" s="30" t="str">
        <f aca="false">HYPERLINK("https://my.zakupki.prom.ua/remote/dispatcher/state_purchase_view/30294307", "UA-2021-09-28-004024-b")</f>
        <v>UA-2021-09-28-004024-b</v>
      </c>
      <c r="C109" s="31" t="s">
        <v>285</v>
      </c>
      <c r="D109" s="31" t="s">
        <v>263</v>
      </c>
      <c r="E109" s="31" t="s">
        <v>12</v>
      </c>
      <c r="F109" s="32" t="n">
        <v>4052212</v>
      </c>
      <c r="G109" s="31" t="s">
        <v>286</v>
      </c>
      <c r="H109" s="31" t="s">
        <v>287</v>
      </c>
      <c r="I109" s="33" t="n">
        <v>1610</v>
      </c>
    </row>
    <row r="110" customFormat="false" ht="68.65" hidden="false" customHeight="false" outlineLevel="0" collapsed="false">
      <c r="A110" s="29" t="n">
        <v>44462</v>
      </c>
      <c r="B110" s="30" t="str">
        <f aca="false">HYPERLINK("https://my.zakupki.prom.ua/remote/dispatcher/state_purchase_view/30150732", "UA-2021-09-23-003302-b")</f>
        <v>UA-2021-09-23-003302-b</v>
      </c>
      <c r="C110" s="31" t="s">
        <v>410</v>
      </c>
      <c r="D110" s="31" t="s">
        <v>354</v>
      </c>
      <c r="E110" s="31" t="s">
        <v>12</v>
      </c>
      <c r="F110" s="32" t="n">
        <v>4052212</v>
      </c>
      <c r="G110" s="31" t="s">
        <v>91</v>
      </c>
      <c r="H110" s="31" t="s">
        <v>92</v>
      </c>
      <c r="I110" s="33" t="n">
        <v>1140</v>
      </c>
    </row>
    <row r="111" customFormat="false" ht="57.45" hidden="false" customHeight="false" outlineLevel="0" collapsed="false">
      <c r="A111" s="29" t="n">
        <v>44547</v>
      </c>
      <c r="B111" s="30" t="str">
        <f aca="false">HYPERLINK("https://my.zakupki.prom.ua/remote/dispatcher/state_purchase_view/33318385", "UA-2021-12-17-014558-c")</f>
        <v>UA-2021-12-17-014558-c</v>
      </c>
      <c r="C111" s="31" t="s">
        <v>475</v>
      </c>
      <c r="D111" s="31" t="s">
        <v>374</v>
      </c>
      <c r="E111" s="31" t="s">
        <v>12</v>
      </c>
      <c r="F111" s="32" t="n">
        <v>4052212</v>
      </c>
      <c r="G111" s="31" t="s">
        <v>23</v>
      </c>
      <c r="H111" s="31" t="s">
        <v>24</v>
      </c>
      <c r="I111" s="33" t="n">
        <v>1275</v>
      </c>
    </row>
    <row r="112" customFormat="false" ht="57.45" hidden="false" customHeight="false" outlineLevel="0" collapsed="false">
      <c r="A112" s="29" t="n">
        <v>44553</v>
      </c>
      <c r="B112" s="30" t="str">
        <f aca="false">HYPERLINK("https://my.zakupki.prom.ua/remote/dispatcher/state_purchase_view/33625535", "UA-2021-12-23-008744-c")</f>
        <v>UA-2021-12-23-008744-c</v>
      </c>
      <c r="C112" s="31" t="s">
        <v>25</v>
      </c>
      <c r="D112" s="31" t="s">
        <v>195</v>
      </c>
      <c r="E112" s="31" t="s">
        <v>12</v>
      </c>
      <c r="F112" s="32" t="n">
        <v>4052212</v>
      </c>
      <c r="G112" s="31" t="s">
        <v>27</v>
      </c>
      <c r="H112" s="31" t="s">
        <v>28</v>
      </c>
      <c r="I112" s="33" t="n">
        <v>23</v>
      </c>
    </row>
    <row r="113" customFormat="false" ht="57.45" hidden="false" customHeight="false" outlineLevel="0" collapsed="false">
      <c r="A113" s="29" t="n">
        <v>44553</v>
      </c>
      <c r="B113" s="30" t="str">
        <f aca="false">HYPERLINK("https://my.zakupki.prom.ua/remote/dispatcher/state_purchase_view/33628977", "UA-2021-12-23-009712-c")</f>
        <v>UA-2021-12-23-009712-c</v>
      </c>
      <c r="C113" s="31" t="s">
        <v>25</v>
      </c>
      <c r="D113" s="31" t="s">
        <v>500</v>
      </c>
      <c r="E113" s="31" t="s">
        <v>12</v>
      </c>
      <c r="F113" s="32" t="n">
        <v>4052212</v>
      </c>
      <c r="G113" s="31" t="s">
        <v>224</v>
      </c>
      <c r="H113" s="31" t="s">
        <v>28</v>
      </c>
      <c r="I113" s="33" t="n">
        <v>826</v>
      </c>
    </row>
    <row r="114" customFormat="false" ht="57.45" hidden="false" customHeight="false" outlineLevel="0" collapsed="false">
      <c r="A114" s="29" t="n">
        <v>44446</v>
      </c>
      <c r="B114" s="30" t="str">
        <f aca="false">HYPERLINK("https://my.zakupki.prom.ua/remote/dispatcher/state_purchase_view/29617117", "UA-2021-09-07-008625-c")</f>
        <v>UA-2021-09-07-008625-c</v>
      </c>
      <c r="C114" s="31" t="s">
        <v>367</v>
      </c>
      <c r="D114" s="31" t="s">
        <v>368</v>
      </c>
      <c r="E114" s="31" t="s">
        <v>12</v>
      </c>
      <c r="F114" s="32" t="n">
        <v>4052212</v>
      </c>
      <c r="G114" s="31" t="s">
        <v>369</v>
      </c>
      <c r="H114" s="31" t="s">
        <v>370</v>
      </c>
      <c r="I114" s="33" t="n">
        <v>46200</v>
      </c>
    </row>
    <row r="115" customFormat="false" ht="57.45" hidden="false" customHeight="false" outlineLevel="0" collapsed="false">
      <c r="A115" s="29" t="n">
        <v>44505</v>
      </c>
      <c r="B115" s="30" t="str">
        <f aca="false">HYPERLINK("https://my.zakupki.prom.ua/remote/dispatcher/state_purchase_view/31469482", "UA-2021-11-05-004908-b")</f>
        <v>UA-2021-11-05-004908-b</v>
      </c>
      <c r="C115" s="31" t="s">
        <v>288</v>
      </c>
      <c r="D115" s="31" t="s">
        <v>289</v>
      </c>
      <c r="E115" s="31" t="s">
        <v>12</v>
      </c>
      <c r="F115" s="32" t="n">
        <v>4052212</v>
      </c>
      <c r="G115" s="31" t="s">
        <v>290</v>
      </c>
      <c r="H115" s="31" t="s">
        <v>291</v>
      </c>
      <c r="I115" s="33" t="n">
        <v>26660.4</v>
      </c>
    </row>
    <row r="116" customFormat="false" ht="57.45" hidden="false" customHeight="false" outlineLevel="0" collapsed="false">
      <c r="A116" s="29" t="n">
        <v>44498</v>
      </c>
      <c r="B116" s="30" t="str">
        <f aca="false">HYPERLINK("https://my.zakupki.prom.ua/remote/dispatcher/state_purchase_view/31236463", "UA-2021-10-29-000678-a")</f>
        <v>UA-2021-10-29-000678-a</v>
      </c>
      <c r="C116" s="31" t="s">
        <v>25</v>
      </c>
      <c r="D116" s="31" t="s">
        <v>318</v>
      </c>
      <c r="E116" s="31" t="s">
        <v>12</v>
      </c>
      <c r="F116" s="32" t="n">
        <v>4052212</v>
      </c>
      <c r="G116" s="31" t="s">
        <v>224</v>
      </c>
      <c r="H116" s="31" t="s">
        <v>28</v>
      </c>
      <c r="I116" s="33" t="n">
        <v>51</v>
      </c>
    </row>
    <row r="117" customFormat="false" ht="57.45" hidden="false" customHeight="false" outlineLevel="0" collapsed="false">
      <c r="A117" s="29" t="n">
        <v>44498</v>
      </c>
      <c r="B117" s="30" t="str">
        <f aca="false">HYPERLINK("https://my.zakupki.prom.ua/remote/dispatcher/state_purchase_view/31254238", "UA-2021-10-29-006726-a")</f>
        <v>UA-2021-10-29-006726-a</v>
      </c>
      <c r="C117" s="31" t="s">
        <v>25</v>
      </c>
      <c r="D117" s="31" t="s">
        <v>133</v>
      </c>
      <c r="E117" s="31" t="s">
        <v>12</v>
      </c>
      <c r="F117" s="32" t="n">
        <v>4052212</v>
      </c>
      <c r="G117" s="31" t="s">
        <v>224</v>
      </c>
      <c r="H117" s="31" t="s">
        <v>28</v>
      </c>
      <c r="I117" s="33" t="n">
        <v>327</v>
      </c>
    </row>
    <row r="118" customFormat="false" ht="57.45" hidden="false" customHeight="false" outlineLevel="0" collapsed="false">
      <c r="A118" s="29" t="n">
        <v>44532</v>
      </c>
      <c r="B118" s="30" t="str">
        <f aca="false">HYPERLINK("https://my.zakupki.prom.ua/remote/dispatcher/state_purchase_view/32498358", "UA-2021-12-02-008618-c")</f>
        <v>UA-2021-12-02-008618-c</v>
      </c>
      <c r="C118" s="31" t="s">
        <v>501</v>
      </c>
      <c r="D118" s="31" t="s">
        <v>267</v>
      </c>
      <c r="E118" s="31" t="s">
        <v>12</v>
      </c>
      <c r="F118" s="32" t="n">
        <v>4052212</v>
      </c>
      <c r="G118" s="31" t="s">
        <v>502</v>
      </c>
      <c r="H118" s="31" t="s">
        <v>287</v>
      </c>
      <c r="I118" s="33" t="n">
        <v>692</v>
      </c>
    </row>
    <row r="119" customFormat="false" ht="57.45" hidden="false" customHeight="false" outlineLevel="0" collapsed="false">
      <c r="A119" s="29" t="n">
        <v>44523</v>
      </c>
      <c r="B119" s="30" t="str">
        <f aca="false">HYPERLINK("https://my.zakupki.prom.ua/remote/dispatcher/state_purchase_view/32100765", "UA-2021-11-23-006483-a")</f>
        <v>UA-2021-11-23-006483-a</v>
      </c>
      <c r="C119" s="31" t="s">
        <v>126</v>
      </c>
      <c r="D119" s="31" t="s">
        <v>98</v>
      </c>
      <c r="E119" s="31" t="s">
        <v>12</v>
      </c>
      <c r="F119" s="32" t="n">
        <v>4052212</v>
      </c>
      <c r="G119" s="31" t="s">
        <v>217</v>
      </c>
      <c r="H119" s="31" t="s">
        <v>208</v>
      </c>
      <c r="I119" s="33" t="n">
        <v>946</v>
      </c>
    </row>
    <row r="120" customFormat="false" ht="57.45" hidden="false" customHeight="false" outlineLevel="0" collapsed="false">
      <c r="A120" s="29" t="n">
        <v>44498</v>
      </c>
      <c r="B120" s="30" t="str">
        <f aca="false">HYPERLINK("https://my.zakupki.prom.ua/remote/dispatcher/state_purchase_view/31255514", "UA-2021-10-29-007212-a")</f>
        <v>UA-2021-10-29-007212-a</v>
      </c>
      <c r="C120" s="31" t="s">
        <v>25</v>
      </c>
      <c r="D120" s="31" t="s">
        <v>121</v>
      </c>
      <c r="E120" s="31" t="s">
        <v>12</v>
      </c>
      <c r="F120" s="32" t="n">
        <v>4052212</v>
      </c>
      <c r="G120" s="31" t="s">
        <v>224</v>
      </c>
      <c r="H120" s="31" t="s">
        <v>28</v>
      </c>
      <c r="I120" s="33" t="n">
        <v>576</v>
      </c>
    </row>
    <row r="121" customFormat="false" ht="57.45" hidden="false" customHeight="false" outlineLevel="0" collapsed="false">
      <c r="A121" s="29" t="n">
        <v>44498</v>
      </c>
      <c r="B121" s="30" t="str">
        <f aca="false">HYPERLINK("https://my.zakupki.prom.ua/remote/dispatcher/state_purchase_view/31258096", "UA-2021-10-29-008183-a")</f>
        <v>UA-2021-10-29-008183-a</v>
      </c>
      <c r="C121" s="31" t="s">
        <v>25</v>
      </c>
      <c r="D121" s="31" t="s">
        <v>148</v>
      </c>
      <c r="E121" s="31" t="s">
        <v>12</v>
      </c>
      <c r="F121" s="32" t="n">
        <v>4052212</v>
      </c>
      <c r="G121" s="31" t="s">
        <v>224</v>
      </c>
      <c r="H121" s="31" t="s">
        <v>28</v>
      </c>
      <c r="I121" s="33" t="n">
        <v>1096</v>
      </c>
    </row>
    <row r="122" customFormat="false" ht="57.45" hidden="false" customHeight="false" outlineLevel="0" collapsed="false">
      <c r="A122" s="29" t="n">
        <v>44498</v>
      </c>
      <c r="B122" s="30" t="str">
        <f aca="false">HYPERLINK("https://my.zakupki.prom.ua/remote/dispatcher/state_purchase_view/31257268", "UA-2021-10-29-007882-a")</f>
        <v>UA-2021-10-29-007882-a</v>
      </c>
      <c r="C122" s="31" t="s">
        <v>25</v>
      </c>
      <c r="D122" s="31" t="s">
        <v>500</v>
      </c>
      <c r="E122" s="31" t="s">
        <v>12</v>
      </c>
      <c r="F122" s="32" t="n">
        <v>4052212</v>
      </c>
      <c r="G122" s="31" t="s">
        <v>224</v>
      </c>
      <c r="H122" s="31" t="s">
        <v>28</v>
      </c>
      <c r="I122" s="33" t="n">
        <v>153</v>
      </c>
    </row>
    <row r="123" customFormat="false" ht="57.45" hidden="false" customHeight="false" outlineLevel="0" collapsed="false">
      <c r="A123" s="29" t="n">
        <v>44449</v>
      </c>
      <c r="B123" s="30" t="str">
        <f aca="false">HYPERLINK("https://my.zakupki.prom.ua/remote/dispatcher/state_purchase_view/29756364", "UA-2021-09-10-009684-c")</f>
        <v>UA-2021-09-10-009684-c</v>
      </c>
      <c r="C123" s="31" t="s">
        <v>365</v>
      </c>
      <c r="D123" s="31" t="s">
        <v>366</v>
      </c>
      <c r="E123" s="31" t="s">
        <v>12</v>
      </c>
      <c r="F123" s="32" t="n">
        <v>4052212</v>
      </c>
      <c r="G123" s="31" t="s">
        <v>348</v>
      </c>
      <c r="H123" s="31" t="s">
        <v>349</v>
      </c>
      <c r="I123" s="33" t="n">
        <v>532</v>
      </c>
    </row>
    <row r="124" customFormat="false" ht="57.45" hidden="false" customHeight="false" outlineLevel="0" collapsed="false">
      <c r="A124" s="29" t="n">
        <v>44539</v>
      </c>
      <c r="B124" s="30" t="str">
        <f aca="false">HYPERLINK("https://my.zakupki.prom.ua/remote/dispatcher/state_purchase_view/32845917", "UA-2021-12-09-012234-c")</f>
        <v>UA-2021-12-09-012234-c</v>
      </c>
      <c r="C124" s="31" t="s">
        <v>450</v>
      </c>
      <c r="D124" s="31" t="s">
        <v>313</v>
      </c>
      <c r="E124" s="31" t="s">
        <v>12</v>
      </c>
      <c r="F124" s="32" t="n">
        <v>4052212</v>
      </c>
      <c r="G124" s="31" t="s">
        <v>451</v>
      </c>
      <c r="H124" s="31" t="s">
        <v>452</v>
      </c>
      <c r="I124" s="33" t="n">
        <v>10950</v>
      </c>
    </row>
    <row r="125" customFormat="false" ht="57.45" hidden="false" customHeight="false" outlineLevel="0" collapsed="false">
      <c r="A125" s="29" t="n">
        <v>44532</v>
      </c>
      <c r="B125" s="30" t="str">
        <f aca="false">HYPERLINK("https://my.zakupki.prom.ua/remote/dispatcher/state_purchase_view/32503188", "UA-2021-12-02-010167-c")</f>
        <v>UA-2021-12-02-010167-c</v>
      </c>
      <c r="C125" s="31" t="s">
        <v>503</v>
      </c>
      <c r="D125" s="31" t="s">
        <v>249</v>
      </c>
      <c r="E125" s="31" t="s">
        <v>12</v>
      </c>
      <c r="F125" s="32" t="n">
        <v>4052212</v>
      </c>
      <c r="G125" s="31" t="s">
        <v>47</v>
      </c>
      <c r="H125" s="31" t="s">
        <v>48</v>
      </c>
      <c r="I125" s="33" t="n">
        <v>1400</v>
      </c>
    </row>
    <row r="126" customFormat="false" ht="57.45" hidden="false" customHeight="false" outlineLevel="0" collapsed="false">
      <c r="A126" s="29" t="n">
        <v>44491</v>
      </c>
      <c r="B126" s="30" t="str">
        <f aca="false">HYPERLINK("https://my.zakupki.prom.ua/remote/dispatcher/state_purchase_view/31000143", "UA-2021-10-22-005086-b")</f>
        <v>UA-2021-10-22-005086-b</v>
      </c>
      <c r="C126" s="31" t="s">
        <v>139</v>
      </c>
      <c r="D126" s="31" t="s">
        <v>200</v>
      </c>
      <c r="E126" s="31" t="s">
        <v>12</v>
      </c>
      <c r="F126" s="32" t="n">
        <v>4052212</v>
      </c>
      <c r="G126" s="31" t="s">
        <v>23</v>
      </c>
      <c r="H126" s="31" t="s">
        <v>24</v>
      </c>
      <c r="I126" s="33" t="n">
        <v>3685.02</v>
      </c>
    </row>
    <row r="127" customFormat="false" ht="57.45" hidden="false" customHeight="false" outlineLevel="0" collapsed="false">
      <c r="A127" s="29" t="n">
        <v>44496</v>
      </c>
      <c r="B127" s="30" t="str">
        <f aca="false">HYPERLINK("https://my.zakupki.prom.ua/remote/dispatcher/state_purchase_view/31173525", "UA-2021-10-27-007267-a")</f>
        <v>UA-2021-10-27-007267-a</v>
      </c>
      <c r="C127" s="31" t="s">
        <v>504</v>
      </c>
      <c r="D127" s="31" t="s">
        <v>198</v>
      </c>
      <c r="E127" s="31" t="s">
        <v>12</v>
      </c>
      <c r="F127" s="32" t="n">
        <v>4052212</v>
      </c>
      <c r="G127" s="31" t="s">
        <v>505</v>
      </c>
      <c r="H127" s="31" t="s">
        <v>506</v>
      </c>
      <c r="I127" s="33" t="n">
        <v>3200</v>
      </c>
    </row>
    <row r="128" customFormat="false" ht="57.45" hidden="false" customHeight="false" outlineLevel="0" collapsed="false">
      <c r="A128" s="29" t="n">
        <v>44553</v>
      </c>
      <c r="B128" s="30" t="str">
        <f aca="false">HYPERLINK("https://my.zakupki.prom.ua/remote/dispatcher/state_purchase_view/33632636", "UA-2021-12-23-010839-c")</f>
        <v>UA-2021-12-23-010839-c</v>
      </c>
      <c r="C128" s="31" t="s">
        <v>25</v>
      </c>
      <c r="D128" s="31" t="s">
        <v>83</v>
      </c>
      <c r="E128" s="31" t="s">
        <v>12</v>
      </c>
      <c r="F128" s="32" t="n">
        <v>4052212</v>
      </c>
      <c r="G128" s="31" t="s">
        <v>27</v>
      </c>
      <c r="H128" s="31" t="s">
        <v>28</v>
      </c>
      <c r="I128" s="33" t="n">
        <v>58</v>
      </c>
    </row>
    <row r="129" customFormat="false" ht="57.45" hidden="false" customHeight="false" outlineLevel="0" collapsed="false">
      <c r="A129" s="29" t="n">
        <v>44553</v>
      </c>
      <c r="B129" s="30" t="str">
        <f aca="false">HYPERLINK("https://my.zakupki.prom.ua/remote/dispatcher/state_purchase_view/33628023", "UA-2021-12-23-009433-c")</f>
        <v>UA-2021-12-23-009433-c</v>
      </c>
      <c r="C129" s="31" t="s">
        <v>25</v>
      </c>
      <c r="D129" s="31" t="s">
        <v>105</v>
      </c>
      <c r="E129" s="31" t="s">
        <v>12</v>
      </c>
      <c r="F129" s="32" t="n">
        <v>4052212</v>
      </c>
      <c r="G129" s="31" t="s">
        <v>224</v>
      </c>
      <c r="H129" s="31" t="s">
        <v>28</v>
      </c>
      <c r="I129" s="33" t="n">
        <v>1533</v>
      </c>
    </row>
    <row r="130" customFormat="false" ht="68.65" hidden="false" customHeight="false" outlineLevel="0" collapsed="false">
      <c r="A130" s="29" t="n">
        <v>44544</v>
      </c>
      <c r="B130" s="30" t="str">
        <f aca="false">HYPERLINK("https://my.zakupki.prom.ua/remote/dispatcher/state_purchase_view/33030634", "UA-2021-12-14-000886-c")</f>
        <v>UA-2021-12-14-000886-c</v>
      </c>
      <c r="C130" s="31" t="s">
        <v>480</v>
      </c>
      <c r="D130" s="31" t="s">
        <v>481</v>
      </c>
      <c r="E130" s="31" t="s">
        <v>12</v>
      </c>
      <c r="F130" s="32" t="n">
        <v>4052212</v>
      </c>
      <c r="G130" s="31" t="s">
        <v>482</v>
      </c>
      <c r="H130" s="31" t="s">
        <v>483</v>
      </c>
      <c r="I130" s="33" t="n">
        <v>166</v>
      </c>
    </row>
    <row r="131" customFormat="false" ht="57.45" hidden="false" customHeight="false" outlineLevel="0" collapsed="false">
      <c r="A131" s="29" t="n">
        <v>44544</v>
      </c>
      <c r="B131" s="30" t="str">
        <f aca="false">HYPERLINK("https://my.zakupki.prom.ua/remote/dispatcher/state_purchase_view/33047078", "UA-2021-12-14-005614-c")</f>
        <v>UA-2021-12-14-005614-c</v>
      </c>
      <c r="C131" s="31" t="s">
        <v>476</v>
      </c>
      <c r="D131" s="31" t="s">
        <v>477</v>
      </c>
      <c r="E131" s="31" t="s">
        <v>12</v>
      </c>
      <c r="F131" s="32" t="n">
        <v>4052212</v>
      </c>
      <c r="G131" s="31" t="s">
        <v>478</v>
      </c>
      <c r="H131" s="31" t="s">
        <v>479</v>
      </c>
      <c r="I131" s="33" t="n">
        <v>417599</v>
      </c>
    </row>
    <row r="132" customFormat="false" ht="57.45" hidden="false" customHeight="false" outlineLevel="0" collapsed="false">
      <c r="A132" s="31" t="s">
        <v>507</v>
      </c>
      <c r="B132" s="31" t="s">
        <v>508</v>
      </c>
      <c r="C132" s="31" t="s">
        <v>509</v>
      </c>
      <c r="D132" s="31" t="s">
        <v>510</v>
      </c>
      <c r="E132" s="31" t="s">
        <v>511</v>
      </c>
      <c r="F132" s="31" t="s">
        <v>512</v>
      </c>
      <c r="G132" s="31" t="s">
        <v>513</v>
      </c>
      <c r="H132" s="31" t="n">
        <v>1963512742</v>
      </c>
      <c r="I132" s="34" t="n">
        <v>831</v>
      </c>
    </row>
    <row r="133" customFormat="false" ht="57.45" hidden="false" customHeight="false" outlineLevel="0" collapsed="false">
      <c r="A133" s="31" t="s">
        <v>514</v>
      </c>
      <c r="B133" s="31" t="s">
        <v>515</v>
      </c>
      <c r="C133" s="31" t="s">
        <v>516</v>
      </c>
      <c r="D133" s="31" t="s">
        <v>517</v>
      </c>
      <c r="E133" s="31" t="s">
        <v>511</v>
      </c>
      <c r="F133" s="31" t="s">
        <v>512</v>
      </c>
      <c r="G133" s="31" t="s">
        <v>518</v>
      </c>
      <c r="H133" s="31" t="n">
        <v>2919106288</v>
      </c>
      <c r="I133" s="34" t="n">
        <v>1254</v>
      </c>
    </row>
    <row r="134" customFormat="false" ht="57.45" hidden="false" customHeight="false" outlineLevel="0" collapsed="false">
      <c r="A134" s="31" t="s">
        <v>519</v>
      </c>
      <c r="B134" s="31" t="s">
        <v>520</v>
      </c>
      <c r="C134" s="31" t="s">
        <v>521</v>
      </c>
      <c r="D134" s="31" t="s">
        <v>522</v>
      </c>
      <c r="E134" s="31" t="s">
        <v>511</v>
      </c>
      <c r="F134" s="31" t="s">
        <v>512</v>
      </c>
      <c r="G134" s="31" t="s">
        <v>523</v>
      </c>
      <c r="H134" s="31" t="n">
        <v>2744304058</v>
      </c>
      <c r="I134" s="34" t="n">
        <v>2989</v>
      </c>
    </row>
    <row r="135" customFormat="false" ht="57.45" hidden="false" customHeight="false" outlineLevel="0" collapsed="false">
      <c r="A135" s="31" t="s">
        <v>524</v>
      </c>
      <c r="B135" s="31" t="s">
        <v>525</v>
      </c>
      <c r="C135" s="31" t="s">
        <v>526</v>
      </c>
      <c r="D135" s="31" t="s">
        <v>527</v>
      </c>
      <c r="E135" s="31" t="s">
        <v>511</v>
      </c>
      <c r="F135" s="31" t="s">
        <v>512</v>
      </c>
      <c r="G135" s="31" t="s">
        <v>528</v>
      </c>
      <c r="H135" s="31" t="n">
        <v>23359034</v>
      </c>
      <c r="I135" s="34" t="n">
        <v>6570.5</v>
      </c>
    </row>
    <row r="136" customFormat="false" ht="57.45" hidden="false" customHeight="false" outlineLevel="0" collapsed="false">
      <c r="A136" s="31" t="s">
        <v>529</v>
      </c>
      <c r="B136" s="31" t="s">
        <v>530</v>
      </c>
      <c r="C136" s="31" t="s">
        <v>531</v>
      </c>
      <c r="D136" s="31" t="s">
        <v>522</v>
      </c>
      <c r="E136" s="31" t="s">
        <v>511</v>
      </c>
      <c r="F136" s="31" t="s">
        <v>512</v>
      </c>
      <c r="G136" s="31" t="s">
        <v>523</v>
      </c>
      <c r="H136" s="31" t="n">
        <v>2744304058</v>
      </c>
      <c r="I136" s="34" t="n">
        <v>2995.51</v>
      </c>
    </row>
    <row r="137" customFormat="false" ht="57.45" hidden="false" customHeight="false" outlineLevel="0" collapsed="false">
      <c r="A137" s="31" t="s">
        <v>532</v>
      </c>
      <c r="B137" s="31" t="s">
        <v>533</v>
      </c>
      <c r="C137" s="31" t="s">
        <v>534</v>
      </c>
      <c r="D137" s="31" t="s">
        <v>535</v>
      </c>
      <c r="E137" s="31" t="s">
        <v>511</v>
      </c>
      <c r="F137" s="31" t="s">
        <v>512</v>
      </c>
      <c r="G137" s="31" t="s">
        <v>536</v>
      </c>
      <c r="H137" s="31" t="n">
        <v>20229472</v>
      </c>
      <c r="I137" s="34" t="n">
        <v>3006</v>
      </c>
    </row>
    <row r="138" customFormat="false" ht="57.45" hidden="false" customHeight="false" outlineLevel="0" collapsed="false">
      <c r="A138" s="31" t="s">
        <v>537</v>
      </c>
      <c r="B138" s="31" t="s">
        <v>538</v>
      </c>
      <c r="C138" s="31" t="s">
        <v>539</v>
      </c>
      <c r="D138" s="31" t="s">
        <v>540</v>
      </c>
      <c r="E138" s="31" t="s">
        <v>511</v>
      </c>
      <c r="F138" s="31" t="s">
        <v>512</v>
      </c>
      <c r="G138" s="31" t="s">
        <v>541</v>
      </c>
      <c r="H138" s="31" t="n">
        <v>2575315465</v>
      </c>
      <c r="I138" s="34" t="n">
        <v>2925</v>
      </c>
    </row>
    <row r="139" customFormat="false" ht="57.45" hidden="false" customHeight="false" outlineLevel="0" collapsed="false">
      <c r="A139" s="31" t="s">
        <v>542</v>
      </c>
      <c r="B139" s="31" t="s">
        <v>543</v>
      </c>
      <c r="C139" s="31" t="s">
        <v>544</v>
      </c>
      <c r="D139" s="31" t="s">
        <v>545</v>
      </c>
      <c r="E139" s="31" t="s">
        <v>511</v>
      </c>
      <c r="F139" s="31" t="s">
        <v>512</v>
      </c>
      <c r="G139" s="31" t="s">
        <v>541</v>
      </c>
      <c r="H139" s="31" t="n">
        <v>2575315465</v>
      </c>
      <c r="I139" s="34" t="n">
        <v>2520</v>
      </c>
    </row>
    <row r="140" customFormat="false" ht="57.45" hidden="false" customHeight="false" outlineLevel="0" collapsed="false">
      <c r="A140" s="31" t="s">
        <v>546</v>
      </c>
      <c r="B140" s="31" t="s">
        <v>547</v>
      </c>
      <c r="C140" s="31" t="s">
        <v>548</v>
      </c>
      <c r="D140" s="31" t="s">
        <v>549</v>
      </c>
      <c r="E140" s="31" t="s">
        <v>511</v>
      </c>
      <c r="F140" s="31" t="s">
        <v>512</v>
      </c>
      <c r="G140" s="31" t="s">
        <v>550</v>
      </c>
      <c r="H140" s="31" t="n">
        <v>2657405794</v>
      </c>
      <c r="I140" s="34" t="n">
        <v>5480</v>
      </c>
    </row>
    <row r="141" customFormat="false" ht="57.45" hidden="false" customHeight="false" outlineLevel="0" collapsed="false">
      <c r="A141" s="31" t="s">
        <v>551</v>
      </c>
      <c r="B141" s="31" t="s">
        <v>552</v>
      </c>
      <c r="C141" s="31" t="s">
        <v>534</v>
      </c>
      <c r="D141" s="31" t="s">
        <v>535</v>
      </c>
      <c r="E141" s="31" t="s">
        <v>511</v>
      </c>
      <c r="F141" s="31" t="s">
        <v>512</v>
      </c>
      <c r="G141" s="31" t="s">
        <v>536</v>
      </c>
      <c r="H141" s="31" t="n">
        <v>20229472</v>
      </c>
      <c r="I141" s="34" t="n">
        <v>9600</v>
      </c>
    </row>
    <row r="142" customFormat="false" ht="57.45" hidden="false" customHeight="false" outlineLevel="0" collapsed="false">
      <c r="A142" s="31" t="s">
        <v>553</v>
      </c>
      <c r="B142" s="31" t="s">
        <v>554</v>
      </c>
      <c r="C142" s="31" t="s">
        <v>555</v>
      </c>
      <c r="D142" s="31" t="s">
        <v>556</v>
      </c>
      <c r="E142" s="31" t="s">
        <v>511</v>
      </c>
      <c r="F142" s="31" t="s">
        <v>512</v>
      </c>
      <c r="G142" s="31" t="s">
        <v>557</v>
      </c>
      <c r="H142" s="31" t="n">
        <v>37333435</v>
      </c>
      <c r="I142" s="34" t="n">
        <v>3340</v>
      </c>
    </row>
    <row r="143" customFormat="false" ht="57.45" hidden="false" customHeight="false" outlineLevel="0" collapsed="false">
      <c r="A143" s="31" t="s">
        <v>558</v>
      </c>
      <c r="B143" s="31" t="s">
        <v>559</v>
      </c>
      <c r="C143" s="31" t="s">
        <v>509</v>
      </c>
      <c r="D143" s="31" t="s">
        <v>510</v>
      </c>
      <c r="E143" s="31" t="s">
        <v>511</v>
      </c>
      <c r="F143" s="31" t="s">
        <v>512</v>
      </c>
      <c r="G143" s="31" t="s">
        <v>560</v>
      </c>
      <c r="H143" s="31" t="n">
        <v>2595408241</v>
      </c>
      <c r="I143" s="34" t="n">
        <v>3000</v>
      </c>
    </row>
    <row r="144" customFormat="false" ht="57.45" hidden="false" customHeight="false" outlineLevel="0" collapsed="false">
      <c r="A144" s="31" t="s">
        <v>561</v>
      </c>
      <c r="B144" s="31" t="s">
        <v>562</v>
      </c>
      <c r="C144" s="31" t="s">
        <v>563</v>
      </c>
      <c r="D144" s="31" t="s">
        <v>564</v>
      </c>
      <c r="E144" s="31" t="s">
        <v>511</v>
      </c>
      <c r="F144" s="31" t="s">
        <v>512</v>
      </c>
      <c r="G144" s="31" t="s">
        <v>565</v>
      </c>
      <c r="H144" s="31" t="n">
        <v>3271013704</v>
      </c>
      <c r="I144" s="34" t="n">
        <v>2735</v>
      </c>
    </row>
    <row r="145" customFormat="false" ht="57.45" hidden="false" customHeight="false" outlineLevel="0" collapsed="false">
      <c r="A145" s="31" t="s">
        <v>566</v>
      </c>
      <c r="B145" s="31" t="s">
        <v>567</v>
      </c>
      <c r="C145" s="31" t="s">
        <v>509</v>
      </c>
      <c r="D145" s="31" t="s">
        <v>510</v>
      </c>
      <c r="E145" s="31" t="s">
        <v>511</v>
      </c>
      <c r="F145" s="31" t="s">
        <v>512</v>
      </c>
      <c r="G145" s="31"/>
      <c r="H145" s="31"/>
      <c r="I145" s="34"/>
    </row>
    <row r="146" customFormat="false" ht="57.45" hidden="false" customHeight="false" outlineLevel="0" collapsed="false">
      <c r="A146" s="31" t="s">
        <v>568</v>
      </c>
      <c r="B146" s="31" t="s">
        <v>569</v>
      </c>
      <c r="C146" s="31" t="s">
        <v>570</v>
      </c>
      <c r="D146" s="31" t="s">
        <v>571</v>
      </c>
      <c r="E146" s="31" t="s">
        <v>511</v>
      </c>
      <c r="F146" s="31" t="s">
        <v>512</v>
      </c>
      <c r="G146" s="31" t="s">
        <v>541</v>
      </c>
      <c r="H146" s="31" t="n">
        <v>2575315465</v>
      </c>
      <c r="I146" s="34" t="n">
        <v>5282</v>
      </c>
    </row>
    <row r="147" customFormat="false" ht="57.45" hidden="false" customHeight="false" outlineLevel="0" collapsed="false">
      <c r="A147" s="31" t="s">
        <v>572</v>
      </c>
      <c r="B147" s="31" t="s">
        <v>573</v>
      </c>
      <c r="C147" s="31" t="s">
        <v>113</v>
      </c>
      <c r="D147" s="31" t="s">
        <v>574</v>
      </c>
      <c r="E147" s="31" t="s">
        <v>511</v>
      </c>
      <c r="F147" s="31" t="s">
        <v>512</v>
      </c>
      <c r="G147" s="31" t="s">
        <v>575</v>
      </c>
      <c r="H147" s="31" t="n">
        <v>3341351</v>
      </c>
      <c r="I147" s="34" t="n">
        <v>3542</v>
      </c>
    </row>
    <row r="148" customFormat="false" ht="57.45" hidden="false" customHeight="false" outlineLevel="0" collapsed="false">
      <c r="A148" s="31" t="s">
        <v>576</v>
      </c>
      <c r="B148" s="31" t="s">
        <v>577</v>
      </c>
      <c r="C148" s="31" t="s">
        <v>578</v>
      </c>
      <c r="D148" s="31" t="s">
        <v>579</v>
      </c>
      <c r="E148" s="31" t="s">
        <v>511</v>
      </c>
      <c r="F148" s="31" t="s">
        <v>512</v>
      </c>
      <c r="G148" s="31" t="s">
        <v>580</v>
      </c>
      <c r="H148" s="31" t="n">
        <v>2950016334</v>
      </c>
      <c r="I148" s="34" t="n">
        <v>1700</v>
      </c>
    </row>
    <row r="149" customFormat="false" ht="57.45" hidden="false" customHeight="false" outlineLevel="0" collapsed="false">
      <c r="A149" s="31"/>
      <c r="B149" s="31"/>
      <c r="C149" s="31" t="s">
        <v>581</v>
      </c>
      <c r="D149" s="31" t="s">
        <v>582</v>
      </c>
      <c r="E149" s="31" t="s">
        <v>511</v>
      </c>
      <c r="F149" s="31" t="s">
        <v>512</v>
      </c>
      <c r="G149" s="31" t="s">
        <v>583</v>
      </c>
      <c r="H149" s="31" t="n">
        <v>2734307908</v>
      </c>
      <c r="I149" s="34" t="n">
        <v>6000</v>
      </c>
    </row>
    <row r="150" customFormat="false" ht="57.45" hidden="false" customHeight="false" outlineLevel="0" collapsed="false">
      <c r="A150" s="31"/>
      <c r="B150" s="31"/>
      <c r="C150" s="31" t="s">
        <v>584</v>
      </c>
      <c r="D150" s="31" t="s">
        <v>585</v>
      </c>
      <c r="E150" s="31" t="s">
        <v>511</v>
      </c>
      <c r="F150" s="31" t="s">
        <v>512</v>
      </c>
      <c r="G150" s="31" t="s">
        <v>586</v>
      </c>
      <c r="H150" s="31" t="n">
        <v>38345394</v>
      </c>
      <c r="I150" s="34" t="n">
        <v>680</v>
      </c>
    </row>
    <row r="151" customFormat="false" ht="57.45" hidden="false" customHeight="false" outlineLevel="0" collapsed="false">
      <c r="A151" s="35" t="n">
        <v>44470</v>
      </c>
      <c r="B151" s="36" t="s">
        <v>587</v>
      </c>
      <c r="C151" s="36" t="s">
        <v>588</v>
      </c>
      <c r="D151" s="36" t="s">
        <v>589</v>
      </c>
      <c r="E151" s="31" t="s">
        <v>590</v>
      </c>
      <c r="F151" s="31" t="s">
        <v>591</v>
      </c>
      <c r="G151" s="36" t="s">
        <v>425</v>
      </c>
      <c r="H151" s="36" t="s">
        <v>426</v>
      </c>
      <c r="I151" s="37" t="n">
        <v>27487.7</v>
      </c>
    </row>
    <row r="152" customFormat="false" ht="46.25" hidden="false" customHeight="false" outlineLevel="0" collapsed="false">
      <c r="A152" s="35" t="n">
        <v>44503</v>
      </c>
      <c r="B152" s="36" t="s">
        <v>592</v>
      </c>
      <c r="C152" s="36" t="s">
        <v>588</v>
      </c>
      <c r="D152" s="36" t="s">
        <v>593</v>
      </c>
      <c r="E152" s="31" t="s">
        <v>590</v>
      </c>
      <c r="F152" s="31" t="s">
        <v>591</v>
      </c>
      <c r="G152" s="36" t="s">
        <v>594</v>
      </c>
      <c r="H152" s="36" t="s">
        <v>595</v>
      </c>
      <c r="I152" s="37" t="n">
        <v>2989</v>
      </c>
    </row>
    <row r="153" customFormat="false" ht="35.05" hidden="false" customHeight="false" outlineLevel="0" collapsed="false">
      <c r="A153" s="35" t="n">
        <v>44510</v>
      </c>
      <c r="B153" s="36" t="s">
        <v>596</v>
      </c>
      <c r="C153" s="36" t="s">
        <v>588</v>
      </c>
      <c r="D153" s="36" t="s">
        <v>597</v>
      </c>
      <c r="E153" s="31" t="s">
        <v>590</v>
      </c>
      <c r="F153" s="31" t="s">
        <v>591</v>
      </c>
      <c r="G153" s="36" t="s">
        <v>598</v>
      </c>
      <c r="H153" s="36" t="s">
        <v>599</v>
      </c>
      <c r="I153" s="37" t="n">
        <v>2550</v>
      </c>
    </row>
    <row r="154" customFormat="false" ht="57.45" hidden="false" customHeight="false" outlineLevel="0" collapsed="false">
      <c r="A154" s="35" t="n">
        <v>44515</v>
      </c>
      <c r="B154" s="36" t="s">
        <v>600</v>
      </c>
      <c r="C154" s="36" t="s">
        <v>588</v>
      </c>
      <c r="D154" s="36" t="s">
        <v>601</v>
      </c>
      <c r="E154" s="31" t="s">
        <v>590</v>
      </c>
      <c r="F154" s="31" t="s">
        <v>591</v>
      </c>
      <c r="G154" s="36" t="s">
        <v>602</v>
      </c>
      <c r="H154" s="36" t="s">
        <v>603</v>
      </c>
      <c r="I154" s="37" t="n">
        <v>14999.94</v>
      </c>
    </row>
    <row r="155" customFormat="false" ht="35.05" hidden="false" customHeight="false" outlineLevel="0" collapsed="false">
      <c r="A155" s="35" t="n">
        <v>44529</v>
      </c>
      <c r="B155" s="36" t="s">
        <v>604</v>
      </c>
      <c r="C155" s="36" t="s">
        <v>588</v>
      </c>
      <c r="D155" s="36" t="s">
        <v>605</v>
      </c>
      <c r="E155" s="31" t="s">
        <v>590</v>
      </c>
      <c r="F155" s="31" t="s">
        <v>591</v>
      </c>
      <c r="G155" s="36" t="s">
        <v>606</v>
      </c>
      <c r="H155" s="36" t="s">
        <v>607</v>
      </c>
      <c r="I155" s="37" t="n">
        <v>2500</v>
      </c>
    </row>
    <row r="156" customFormat="false" ht="46.25" hidden="false" customHeight="false" outlineLevel="0" collapsed="false">
      <c r="A156" s="35" t="n">
        <v>44533</v>
      </c>
      <c r="B156" s="36" t="s">
        <v>608</v>
      </c>
      <c r="C156" s="36" t="s">
        <v>588</v>
      </c>
      <c r="D156" s="36" t="s">
        <v>609</v>
      </c>
      <c r="E156" s="31" t="s">
        <v>590</v>
      </c>
      <c r="F156" s="31" t="s">
        <v>591</v>
      </c>
      <c r="G156" s="36" t="s">
        <v>610</v>
      </c>
      <c r="H156" s="36" t="s">
        <v>611</v>
      </c>
      <c r="I156" s="37" t="n">
        <v>1110</v>
      </c>
    </row>
    <row r="157" customFormat="false" ht="35.05" hidden="false" customHeight="false" outlineLevel="0" collapsed="false">
      <c r="A157" s="35" t="n">
        <v>44537</v>
      </c>
      <c r="B157" s="36" t="s">
        <v>612</v>
      </c>
      <c r="C157" s="36" t="s">
        <v>588</v>
      </c>
      <c r="D157" s="36" t="s">
        <v>613</v>
      </c>
      <c r="E157" s="31" t="s">
        <v>590</v>
      </c>
      <c r="F157" s="31" t="s">
        <v>591</v>
      </c>
      <c r="G157" s="36" t="s">
        <v>614</v>
      </c>
      <c r="H157" s="36" t="s">
        <v>287</v>
      </c>
      <c r="I157" s="37" t="n">
        <v>330</v>
      </c>
    </row>
    <row r="158" customFormat="false" ht="35.05" hidden="false" customHeight="false" outlineLevel="0" collapsed="false">
      <c r="A158" s="35" t="n">
        <v>44537</v>
      </c>
      <c r="B158" s="36" t="s">
        <v>615</v>
      </c>
      <c r="C158" s="36" t="s">
        <v>588</v>
      </c>
      <c r="D158" s="36" t="s">
        <v>616</v>
      </c>
      <c r="E158" s="31" t="s">
        <v>590</v>
      </c>
      <c r="F158" s="31" t="s">
        <v>591</v>
      </c>
      <c r="G158" s="36" t="s">
        <v>614</v>
      </c>
      <c r="H158" s="36" t="s">
        <v>287</v>
      </c>
      <c r="I158" s="37" t="n">
        <v>135</v>
      </c>
    </row>
    <row r="159" customFormat="false" ht="35.05" hidden="false" customHeight="false" outlineLevel="0" collapsed="false">
      <c r="A159" s="35" t="n">
        <v>44537</v>
      </c>
      <c r="B159" s="36" t="s">
        <v>617</v>
      </c>
      <c r="C159" s="36" t="s">
        <v>588</v>
      </c>
      <c r="D159" s="36" t="s">
        <v>618</v>
      </c>
      <c r="E159" s="31" t="s">
        <v>590</v>
      </c>
      <c r="F159" s="31" t="s">
        <v>591</v>
      </c>
      <c r="G159" s="36" t="s">
        <v>614</v>
      </c>
      <c r="H159" s="36" t="s">
        <v>287</v>
      </c>
      <c r="I159" s="37" t="n">
        <v>285</v>
      </c>
    </row>
    <row r="160" customFormat="false" ht="35.05" hidden="false" customHeight="false" outlineLevel="0" collapsed="false">
      <c r="A160" s="35" t="n">
        <v>44537</v>
      </c>
      <c r="B160" s="36" t="s">
        <v>619</v>
      </c>
      <c r="C160" s="36" t="s">
        <v>588</v>
      </c>
      <c r="D160" s="36" t="s">
        <v>620</v>
      </c>
      <c r="E160" s="31" t="s">
        <v>590</v>
      </c>
      <c r="F160" s="31" t="s">
        <v>591</v>
      </c>
      <c r="G160" s="36" t="s">
        <v>614</v>
      </c>
      <c r="H160" s="36" t="s">
        <v>287</v>
      </c>
      <c r="I160" s="37" t="n">
        <v>220</v>
      </c>
    </row>
    <row r="161" customFormat="false" ht="35.05" hidden="false" customHeight="false" outlineLevel="0" collapsed="false">
      <c r="A161" s="35" t="n">
        <v>44537</v>
      </c>
      <c r="B161" s="36" t="s">
        <v>621</v>
      </c>
      <c r="C161" s="36" t="s">
        <v>588</v>
      </c>
      <c r="D161" s="36" t="s">
        <v>622</v>
      </c>
      <c r="E161" s="31" t="s">
        <v>590</v>
      </c>
      <c r="F161" s="31" t="s">
        <v>591</v>
      </c>
      <c r="G161" s="36" t="s">
        <v>614</v>
      </c>
      <c r="H161" s="36" t="s">
        <v>287</v>
      </c>
      <c r="I161" s="37" t="n">
        <v>264</v>
      </c>
    </row>
    <row r="162" customFormat="false" ht="46.25" hidden="false" customHeight="false" outlineLevel="0" collapsed="false">
      <c r="A162" s="35" t="n">
        <v>44537</v>
      </c>
      <c r="B162" s="36" t="s">
        <v>623</v>
      </c>
      <c r="C162" s="36" t="s">
        <v>588</v>
      </c>
      <c r="D162" s="36" t="s">
        <v>624</v>
      </c>
      <c r="E162" s="31" t="s">
        <v>590</v>
      </c>
      <c r="F162" s="31" t="s">
        <v>591</v>
      </c>
      <c r="G162" s="36" t="s">
        <v>614</v>
      </c>
      <c r="H162" s="36" t="s">
        <v>287</v>
      </c>
      <c r="I162" s="37" t="n">
        <v>165</v>
      </c>
    </row>
    <row r="163" customFormat="false" ht="35.05" hidden="false" customHeight="false" outlineLevel="0" collapsed="false">
      <c r="A163" s="35" t="n">
        <v>44537</v>
      </c>
      <c r="B163" s="36" t="s">
        <v>625</v>
      </c>
      <c r="C163" s="36" t="s">
        <v>588</v>
      </c>
      <c r="D163" s="36" t="s">
        <v>626</v>
      </c>
      <c r="E163" s="31" t="s">
        <v>590</v>
      </c>
      <c r="F163" s="31" t="s">
        <v>591</v>
      </c>
      <c r="G163" s="36" t="s">
        <v>614</v>
      </c>
      <c r="H163" s="36" t="s">
        <v>287</v>
      </c>
      <c r="I163" s="37" t="n">
        <v>812</v>
      </c>
    </row>
    <row r="164" customFormat="false" ht="35.05" hidden="false" customHeight="false" outlineLevel="0" collapsed="false">
      <c r="A164" s="35" t="n">
        <v>44537</v>
      </c>
      <c r="B164" s="36" t="s">
        <v>627</v>
      </c>
      <c r="C164" s="36" t="s">
        <v>588</v>
      </c>
      <c r="D164" s="36" t="s">
        <v>628</v>
      </c>
      <c r="E164" s="31" t="s">
        <v>590</v>
      </c>
      <c r="F164" s="31" t="s">
        <v>591</v>
      </c>
      <c r="G164" s="36" t="s">
        <v>614</v>
      </c>
      <c r="H164" s="36" t="s">
        <v>287</v>
      </c>
      <c r="I164" s="37" t="n">
        <v>128</v>
      </c>
    </row>
    <row r="165" customFormat="false" ht="35.05" hidden="false" customHeight="false" outlineLevel="0" collapsed="false">
      <c r="A165" s="35" t="n">
        <v>44537</v>
      </c>
      <c r="B165" s="36" t="s">
        <v>629</v>
      </c>
      <c r="C165" s="36" t="s">
        <v>588</v>
      </c>
      <c r="D165" s="36" t="s">
        <v>630</v>
      </c>
      <c r="E165" s="31" t="s">
        <v>590</v>
      </c>
      <c r="F165" s="31" t="s">
        <v>591</v>
      </c>
      <c r="G165" s="36" t="s">
        <v>614</v>
      </c>
      <c r="H165" s="36" t="s">
        <v>287</v>
      </c>
      <c r="I165" s="37" t="n">
        <v>50</v>
      </c>
    </row>
    <row r="166" customFormat="false" ht="57.45" hidden="false" customHeight="false" outlineLevel="0" collapsed="false">
      <c r="A166" s="35" t="n">
        <v>44539</v>
      </c>
      <c r="B166" s="36" t="s">
        <v>631</v>
      </c>
      <c r="C166" s="36" t="s">
        <v>588</v>
      </c>
      <c r="D166" s="36" t="s">
        <v>632</v>
      </c>
      <c r="E166" s="31" t="s">
        <v>590</v>
      </c>
      <c r="F166" s="31" t="s">
        <v>591</v>
      </c>
      <c r="G166" s="36" t="s">
        <v>633</v>
      </c>
      <c r="H166" s="36" t="s">
        <v>634</v>
      </c>
      <c r="I166" s="37" t="n">
        <v>480</v>
      </c>
    </row>
    <row r="167" customFormat="false" ht="46.25" hidden="false" customHeight="false" outlineLevel="0" collapsed="false">
      <c r="A167" s="35" t="n">
        <v>44540</v>
      </c>
      <c r="B167" s="36" t="s">
        <v>635</v>
      </c>
      <c r="C167" s="36" t="s">
        <v>588</v>
      </c>
      <c r="D167" s="36" t="s">
        <v>636</v>
      </c>
      <c r="E167" s="31" t="s">
        <v>590</v>
      </c>
      <c r="F167" s="31" t="s">
        <v>591</v>
      </c>
      <c r="G167" s="36" t="s">
        <v>637</v>
      </c>
      <c r="H167" s="36" t="s">
        <v>228</v>
      </c>
      <c r="I167" s="37" t="n">
        <v>2000</v>
      </c>
    </row>
    <row r="168" customFormat="false" ht="35.05" hidden="false" customHeight="false" outlineLevel="0" collapsed="false">
      <c r="A168" s="35" t="n">
        <v>44540</v>
      </c>
      <c r="B168" s="36" t="s">
        <v>638</v>
      </c>
      <c r="C168" s="36" t="s">
        <v>588</v>
      </c>
      <c r="D168" s="36" t="s">
        <v>639</v>
      </c>
      <c r="E168" s="31" t="s">
        <v>590</v>
      </c>
      <c r="F168" s="31" t="s">
        <v>591</v>
      </c>
      <c r="G168" s="36" t="s">
        <v>640</v>
      </c>
      <c r="H168" s="36" t="s">
        <v>641</v>
      </c>
      <c r="I168" s="37" t="n">
        <v>760</v>
      </c>
    </row>
    <row r="169" customFormat="false" ht="35.05" hidden="false" customHeight="false" outlineLevel="0" collapsed="false">
      <c r="A169" s="35" t="n">
        <v>44540</v>
      </c>
      <c r="B169" s="36" t="s">
        <v>642</v>
      </c>
      <c r="C169" s="36" t="s">
        <v>588</v>
      </c>
      <c r="D169" s="36" t="s">
        <v>643</v>
      </c>
      <c r="E169" s="31" t="s">
        <v>590</v>
      </c>
      <c r="F169" s="31" t="s">
        <v>591</v>
      </c>
      <c r="G169" s="36" t="s">
        <v>640</v>
      </c>
      <c r="H169" s="36" t="s">
        <v>641</v>
      </c>
      <c r="I169" s="37" t="n">
        <v>6000</v>
      </c>
    </row>
    <row r="170" customFormat="false" ht="35.05" hidden="false" customHeight="false" outlineLevel="0" collapsed="false">
      <c r="A170" s="35" t="n">
        <v>44558</v>
      </c>
      <c r="B170" s="36" t="s">
        <v>644</v>
      </c>
      <c r="C170" s="36" t="s">
        <v>588</v>
      </c>
      <c r="D170" s="36" t="s">
        <v>645</v>
      </c>
      <c r="E170" s="31" t="s">
        <v>590</v>
      </c>
      <c r="F170" s="31" t="s">
        <v>591</v>
      </c>
      <c r="G170" s="36" t="s">
        <v>610</v>
      </c>
      <c r="H170" s="36" t="s">
        <v>611</v>
      </c>
      <c r="I170" s="37" t="n">
        <v>2640</v>
      </c>
    </row>
    <row r="171" customFormat="false" ht="57.45" hidden="false" customHeight="false" outlineLevel="0" collapsed="false">
      <c r="A171" s="35" t="n">
        <v>44540</v>
      </c>
      <c r="B171" s="36" t="s">
        <v>646</v>
      </c>
      <c r="C171" s="36" t="s">
        <v>647</v>
      </c>
      <c r="D171" s="36" t="s">
        <v>648</v>
      </c>
      <c r="E171" s="31" t="s">
        <v>590</v>
      </c>
      <c r="F171" s="31" t="s">
        <v>591</v>
      </c>
      <c r="G171" s="36" t="s">
        <v>649</v>
      </c>
      <c r="H171" s="36" t="s">
        <v>650</v>
      </c>
      <c r="I171" s="37" t="n">
        <v>15830.28</v>
      </c>
    </row>
    <row r="172" customFormat="false" ht="46.25" hidden="false" customHeight="false" outlineLevel="0" collapsed="false">
      <c r="A172" s="35" t="n">
        <v>44522</v>
      </c>
      <c r="B172" s="36" t="s">
        <v>651</v>
      </c>
      <c r="C172" s="36" t="s">
        <v>647</v>
      </c>
      <c r="D172" s="36" t="s">
        <v>652</v>
      </c>
      <c r="E172" s="31" t="s">
        <v>590</v>
      </c>
      <c r="F172" s="31" t="s">
        <v>591</v>
      </c>
      <c r="G172" s="36" t="s">
        <v>594</v>
      </c>
      <c r="H172" s="36" t="s">
        <v>595</v>
      </c>
      <c r="I172" s="37" t="n">
        <v>32391</v>
      </c>
    </row>
    <row r="173" customFormat="false" ht="79.85" hidden="false" customHeight="false" outlineLevel="0" collapsed="false">
      <c r="A173" s="38" t="n">
        <v>44543</v>
      </c>
      <c r="B173" s="39" t="s">
        <v>653</v>
      </c>
      <c r="C173" s="39" t="s">
        <v>654</v>
      </c>
      <c r="D173" s="39" t="s">
        <v>655</v>
      </c>
      <c r="E173" s="39" t="s">
        <v>656</v>
      </c>
      <c r="F173" s="39" t="s">
        <v>657</v>
      </c>
      <c r="G173" s="39" t="s">
        <v>658</v>
      </c>
      <c r="H173" s="31" t="n">
        <v>3341351</v>
      </c>
      <c r="I173" s="40" t="n">
        <v>10700</v>
      </c>
    </row>
    <row r="174" customFormat="false" ht="23.85" hidden="false" customHeight="false" outlineLevel="0" collapsed="false">
      <c r="A174" s="41" t="n">
        <v>44543</v>
      </c>
      <c r="B174" s="42" t="s">
        <v>659</v>
      </c>
      <c r="C174" s="31" t="s">
        <v>660</v>
      </c>
      <c r="D174" s="32" t="s">
        <v>661</v>
      </c>
      <c r="E174" s="32" t="s">
        <v>656</v>
      </c>
      <c r="F174" s="32" t="n">
        <v>41230763</v>
      </c>
      <c r="G174" s="43" t="s">
        <v>658</v>
      </c>
      <c r="H174" s="44" t="n">
        <v>3341351</v>
      </c>
      <c r="I174" s="45" t="n">
        <v>7700</v>
      </c>
    </row>
    <row r="175" customFormat="false" ht="35.05" hidden="false" customHeight="false" outlineLevel="0" collapsed="false">
      <c r="A175" s="46" t="n">
        <v>44474</v>
      </c>
      <c r="B175" s="32" t="s">
        <v>662</v>
      </c>
      <c r="C175" s="32" t="s">
        <v>663</v>
      </c>
      <c r="D175" s="32" t="s">
        <v>664</v>
      </c>
      <c r="E175" s="39" t="s">
        <v>665</v>
      </c>
      <c r="F175" s="39" t="s">
        <v>666</v>
      </c>
      <c r="G175" s="32" t="s">
        <v>667</v>
      </c>
      <c r="H175" s="32" t="n">
        <v>2744304058</v>
      </c>
      <c r="I175" s="47" t="n">
        <v>2997</v>
      </c>
    </row>
    <row r="176" customFormat="false" ht="79.85" hidden="false" customHeight="false" outlineLevel="0" collapsed="false">
      <c r="A176" s="46" t="n">
        <v>44480</v>
      </c>
      <c r="B176" s="32" t="s">
        <v>668</v>
      </c>
      <c r="C176" s="32" t="s">
        <v>669</v>
      </c>
      <c r="D176" s="32" t="s">
        <v>670</v>
      </c>
      <c r="E176" s="39" t="s">
        <v>665</v>
      </c>
      <c r="F176" s="39" t="s">
        <v>666</v>
      </c>
      <c r="G176" s="32" t="s">
        <v>671</v>
      </c>
      <c r="H176" s="39" t="s">
        <v>672</v>
      </c>
      <c r="I176" s="47" t="n">
        <v>21494.76</v>
      </c>
    </row>
    <row r="177" customFormat="false" ht="57.45" hidden="false" customHeight="false" outlineLevel="0" collapsed="false">
      <c r="A177" s="46" t="n">
        <v>44482</v>
      </c>
      <c r="B177" s="32" t="s">
        <v>673</v>
      </c>
      <c r="C177" s="32" t="s">
        <v>674</v>
      </c>
      <c r="D177" s="32" t="s">
        <v>675</v>
      </c>
      <c r="E177" s="39" t="s">
        <v>665</v>
      </c>
      <c r="F177" s="39" t="s">
        <v>666</v>
      </c>
      <c r="G177" s="32" t="s">
        <v>676</v>
      </c>
      <c r="H177" s="39" t="s">
        <v>677</v>
      </c>
      <c r="I177" s="47" t="n">
        <v>12460</v>
      </c>
    </row>
    <row r="178" customFormat="false" ht="46.25" hidden="false" customHeight="false" outlineLevel="0" collapsed="false">
      <c r="A178" s="46" t="n">
        <v>44484</v>
      </c>
      <c r="B178" s="32" t="s">
        <v>678</v>
      </c>
      <c r="C178" s="32" t="s">
        <v>679</v>
      </c>
      <c r="D178" s="32" t="s">
        <v>680</v>
      </c>
      <c r="E178" s="39" t="s">
        <v>665</v>
      </c>
      <c r="F178" s="39" t="s">
        <v>666</v>
      </c>
      <c r="G178" s="32" t="s">
        <v>681</v>
      </c>
      <c r="H178" s="39" t="s">
        <v>682</v>
      </c>
      <c r="I178" s="47" t="n">
        <v>48750</v>
      </c>
    </row>
    <row r="179" customFormat="false" ht="46.25" hidden="false" customHeight="false" outlineLevel="0" collapsed="false">
      <c r="A179" s="46" t="n">
        <v>44487</v>
      </c>
      <c r="B179" s="32" t="s">
        <v>683</v>
      </c>
      <c r="C179" s="32" t="s">
        <v>684</v>
      </c>
      <c r="D179" s="32" t="s">
        <v>685</v>
      </c>
      <c r="E179" s="39" t="s">
        <v>665</v>
      </c>
      <c r="F179" s="39" t="s">
        <v>666</v>
      </c>
      <c r="G179" s="32" t="s">
        <v>686</v>
      </c>
      <c r="H179" s="32" t="n">
        <v>2299615814</v>
      </c>
      <c r="I179" s="47" t="n">
        <v>2779.95</v>
      </c>
    </row>
    <row r="180" customFormat="false" ht="57.45" hidden="false" customHeight="false" outlineLevel="0" collapsed="false">
      <c r="A180" s="46" t="n">
        <v>44490</v>
      </c>
      <c r="B180" s="32" t="s">
        <v>687</v>
      </c>
      <c r="C180" s="32" t="s">
        <v>688</v>
      </c>
      <c r="D180" s="32" t="s">
        <v>689</v>
      </c>
      <c r="E180" s="39" t="s">
        <v>665</v>
      </c>
      <c r="F180" s="39" t="s">
        <v>666</v>
      </c>
      <c r="G180" s="32" t="s">
        <v>690</v>
      </c>
      <c r="H180" s="32" t="n">
        <v>2791614140</v>
      </c>
      <c r="I180" s="47" t="n">
        <v>47965</v>
      </c>
    </row>
    <row r="181" customFormat="false" ht="35.05" hidden="false" customHeight="false" outlineLevel="0" collapsed="false">
      <c r="A181" s="46" t="n">
        <v>44494</v>
      </c>
      <c r="B181" s="32" t="s">
        <v>691</v>
      </c>
      <c r="C181" s="32" t="s">
        <v>692</v>
      </c>
      <c r="D181" s="32" t="s">
        <v>693</v>
      </c>
      <c r="E181" s="39" t="s">
        <v>665</v>
      </c>
      <c r="F181" s="39" t="s">
        <v>666</v>
      </c>
      <c r="G181" s="32" t="s">
        <v>694</v>
      </c>
      <c r="H181" s="32" t="n">
        <v>3155421332</v>
      </c>
      <c r="I181" s="47" t="n">
        <v>49680</v>
      </c>
    </row>
    <row r="182" customFormat="false" ht="35.05" hidden="false" customHeight="false" outlineLevel="0" collapsed="false">
      <c r="A182" s="46" t="n">
        <v>44494</v>
      </c>
      <c r="B182" s="32" t="s">
        <v>695</v>
      </c>
      <c r="C182" s="32" t="s">
        <v>696</v>
      </c>
      <c r="D182" s="32" t="s">
        <v>697</v>
      </c>
      <c r="E182" s="39" t="s">
        <v>665</v>
      </c>
      <c r="F182" s="39" t="s">
        <v>666</v>
      </c>
      <c r="G182" s="32" t="s">
        <v>698</v>
      </c>
      <c r="H182" s="32" t="n">
        <v>2999212990</v>
      </c>
      <c r="I182" s="47" t="n">
        <v>2917.5</v>
      </c>
    </row>
    <row r="183" customFormat="false" ht="35.05" hidden="false" customHeight="false" outlineLevel="0" collapsed="false">
      <c r="A183" s="46" t="n">
        <v>44495</v>
      </c>
      <c r="B183" s="32" t="s">
        <v>699</v>
      </c>
      <c r="C183" s="32" t="s">
        <v>700</v>
      </c>
      <c r="D183" s="32" t="s">
        <v>701</v>
      </c>
      <c r="E183" s="39" t="s">
        <v>665</v>
      </c>
      <c r="F183" s="39" t="s">
        <v>666</v>
      </c>
      <c r="G183" s="32" t="s">
        <v>702</v>
      </c>
      <c r="H183" s="32" t="n">
        <v>2680806725</v>
      </c>
      <c r="I183" s="47" t="n">
        <v>3000</v>
      </c>
    </row>
    <row r="184" customFormat="false" ht="46.25" hidden="false" customHeight="false" outlineLevel="0" collapsed="false">
      <c r="A184" s="46" t="n">
        <v>44496</v>
      </c>
      <c r="B184" s="32" t="s">
        <v>703</v>
      </c>
      <c r="C184" s="32" t="s">
        <v>704</v>
      </c>
      <c r="D184" s="32" t="s">
        <v>705</v>
      </c>
      <c r="E184" s="39" t="s">
        <v>665</v>
      </c>
      <c r="F184" s="39" t="s">
        <v>666</v>
      </c>
      <c r="G184" s="32" t="s">
        <v>667</v>
      </c>
      <c r="H184" s="32" t="n">
        <v>2744304058</v>
      </c>
      <c r="I184" s="47" t="n">
        <v>2973</v>
      </c>
    </row>
    <row r="185" customFormat="false" ht="35.05" hidden="false" customHeight="false" outlineLevel="0" collapsed="false">
      <c r="A185" s="46" t="n">
        <v>44497</v>
      </c>
      <c r="B185" s="32" t="s">
        <v>706</v>
      </c>
      <c r="C185" s="32" t="s">
        <v>707</v>
      </c>
      <c r="D185" s="32" t="s">
        <v>697</v>
      </c>
      <c r="E185" s="39" t="s">
        <v>665</v>
      </c>
      <c r="F185" s="39" t="s">
        <v>666</v>
      </c>
      <c r="G185" s="32" t="s">
        <v>708</v>
      </c>
      <c r="H185" s="32" t="n">
        <v>41331842</v>
      </c>
      <c r="I185" s="47" t="n">
        <v>49708.05</v>
      </c>
    </row>
    <row r="186" customFormat="false" ht="57.45" hidden="false" customHeight="false" outlineLevel="0" collapsed="false">
      <c r="A186" s="46" t="n">
        <v>44497</v>
      </c>
      <c r="B186" s="32" t="s">
        <v>709</v>
      </c>
      <c r="C186" s="32" t="s">
        <v>710</v>
      </c>
      <c r="D186" s="32" t="s">
        <v>711</v>
      </c>
      <c r="E186" s="39" t="s">
        <v>665</v>
      </c>
      <c r="F186" s="39" t="s">
        <v>666</v>
      </c>
      <c r="G186" s="32" t="s">
        <v>694</v>
      </c>
      <c r="H186" s="32" t="n">
        <v>3155421332</v>
      </c>
      <c r="I186" s="47" t="n">
        <v>49650</v>
      </c>
    </row>
    <row r="187" customFormat="false" ht="35.05" hidden="false" customHeight="false" outlineLevel="0" collapsed="false">
      <c r="A187" s="46" t="n">
        <v>44501</v>
      </c>
      <c r="B187" s="32" t="s">
        <v>712</v>
      </c>
      <c r="C187" s="32" t="s">
        <v>713</v>
      </c>
      <c r="D187" s="32" t="s">
        <v>714</v>
      </c>
      <c r="E187" s="39" t="s">
        <v>665</v>
      </c>
      <c r="F187" s="39" t="s">
        <v>666</v>
      </c>
      <c r="G187" s="32" t="s">
        <v>715</v>
      </c>
      <c r="H187" s="32" t="n">
        <v>43120417</v>
      </c>
      <c r="I187" s="47" t="n">
        <v>46995</v>
      </c>
    </row>
    <row r="188" customFormat="false" ht="46.25" hidden="false" customHeight="false" outlineLevel="0" collapsed="false">
      <c r="A188" s="46" t="n">
        <v>44502</v>
      </c>
      <c r="B188" s="32" t="s">
        <v>716</v>
      </c>
      <c r="C188" s="32" t="s">
        <v>717</v>
      </c>
      <c r="D188" s="32" t="s">
        <v>718</v>
      </c>
      <c r="E188" s="39" t="s">
        <v>665</v>
      </c>
      <c r="F188" s="39" t="s">
        <v>666</v>
      </c>
      <c r="G188" s="32" t="s">
        <v>719</v>
      </c>
      <c r="H188" s="32" t="n">
        <v>3271013704</v>
      </c>
      <c r="I188" s="47" t="n">
        <v>2735</v>
      </c>
    </row>
    <row r="189" customFormat="false" ht="35.05" hidden="false" customHeight="false" outlineLevel="0" collapsed="false">
      <c r="A189" s="46" t="n">
        <v>44502</v>
      </c>
      <c r="B189" s="32" t="s">
        <v>720</v>
      </c>
      <c r="C189" s="32" t="s">
        <v>721</v>
      </c>
      <c r="D189" s="32" t="s">
        <v>722</v>
      </c>
      <c r="E189" s="39" t="s">
        <v>665</v>
      </c>
      <c r="F189" s="39" t="s">
        <v>666</v>
      </c>
      <c r="G189" s="32" t="s">
        <v>667</v>
      </c>
      <c r="H189" s="32" t="n">
        <v>2744304058</v>
      </c>
      <c r="I189" s="47" t="n">
        <v>2983.56</v>
      </c>
    </row>
    <row r="190" customFormat="false" ht="35.05" hidden="false" customHeight="false" outlineLevel="0" collapsed="false">
      <c r="A190" s="46" t="n">
        <v>44504</v>
      </c>
      <c r="B190" s="32" t="s">
        <v>723</v>
      </c>
      <c r="C190" s="32" t="s">
        <v>724</v>
      </c>
      <c r="D190" s="32" t="s">
        <v>725</v>
      </c>
      <c r="E190" s="39" t="s">
        <v>665</v>
      </c>
      <c r="F190" s="39" t="s">
        <v>666</v>
      </c>
      <c r="G190" s="32" t="s">
        <v>726</v>
      </c>
      <c r="H190" s="32" t="n">
        <v>32950551</v>
      </c>
      <c r="I190" s="47" t="n">
        <v>2986.87</v>
      </c>
    </row>
    <row r="191" customFormat="false" ht="35.05" hidden="false" customHeight="false" outlineLevel="0" collapsed="false">
      <c r="A191" s="46" t="n">
        <v>44509</v>
      </c>
      <c r="B191" s="32" t="s">
        <v>727</v>
      </c>
      <c r="C191" s="32" t="s">
        <v>728</v>
      </c>
      <c r="D191" s="32" t="s">
        <v>729</v>
      </c>
      <c r="E191" s="39" t="s">
        <v>665</v>
      </c>
      <c r="F191" s="39" t="s">
        <v>666</v>
      </c>
      <c r="G191" s="32" t="s">
        <v>730</v>
      </c>
      <c r="H191" s="32" t="n">
        <v>2928407211</v>
      </c>
      <c r="I191" s="47" t="n">
        <v>2920</v>
      </c>
    </row>
    <row r="192" customFormat="false" ht="46.25" hidden="false" customHeight="false" outlineLevel="0" collapsed="false">
      <c r="A192" s="46" t="n">
        <v>44515</v>
      </c>
      <c r="B192" s="32" t="s">
        <v>731</v>
      </c>
      <c r="C192" s="32" t="s">
        <v>732</v>
      </c>
      <c r="D192" s="32" t="s">
        <v>733</v>
      </c>
      <c r="E192" s="39" t="s">
        <v>665</v>
      </c>
      <c r="F192" s="39" t="s">
        <v>666</v>
      </c>
      <c r="G192" s="32" t="s">
        <v>734</v>
      </c>
      <c r="H192" s="32" t="n">
        <v>37167117</v>
      </c>
      <c r="I192" s="47" t="n">
        <v>19630.8</v>
      </c>
    </row>
    <row r="193" customFormat="false" ht="35.05" hidden="false" customHeight="false" outlineLevel="0" collapsed="false">
      <c r="A193" s="46" t="n">
        <v>44523</v>
      </c>
      <c r="B193" s="32" t="s">
        <v>735</v>
      </c>
      <c r="C193" s="32" t="s">
        <v>736</v>
      </c>
      <c r="D193" s="32" t="s">
        <v>737</v>
      </c>
      <c r="E193" s="39" t="s">
        <v>665</v>
      </c>
      <c r="F193" s="39" t="s">
        <v>666</v>
      </c>
      <c r="G193" s="32" t="s">
        <v>738</v>
      </c>
      <c r="H193" s="32" t="n">
        <v>44480716</v>
      </c>
      <c r="I193" s="47" t="n">
        <v>47700</v>
      </c>
    </row>
    <row r="194" customFormat="false" ht="35.05" hidden="false" customHeight="false" outlineLevel="0" collapsed="false">
      <c r="A194" s="46" t="n">
        <v>44523</v>
      </c>
      <c r="B194" s="32" t="s">
        <v>739</v>
      </c>
      <c r="C194" s="32" t="s">
        <v>740</v>
      </c>
      <c r="D194" s="32" t="s">
        <v>741</v>
      </c>
      <c r="E194" s="39" t="s">
        <v>665</v>
      </c>
      <c r="F194" s="39" t="s">
        <v>666</v>
      </c>
      <c r="G194" s="32" t="s">
        <v>742</v>
      </c>
      <c r="H194" s="32" t="n">
        <v>2657405794</v>
      </c>
      <c r="I194" s="47" t="n">
        <v>2960</v>
      </c>
    </row>
    <row r="195" customFormat="false" ht="57.45" hidden="false" customHeight="false" outlineLevel="0" collapsed="false">
      <c r="A195" s="46" t="n">
        <v>44523</v>
      </c>
      <c r="B195" s="32" t="s">
        <v>743</v>
      </c>
      <c r="C195" s="32" t="s">
        <v>744</v>
      </c>
      <c r="D195" s="32" t="s">
        <v>745</v>
      </c>
      <c r="E195" s="39" t="s">
        <v>665</v>
      </c>
      <c r="F195" s="39" t="s">
        <v>666</v>
      </c>
      <c r="G195" s="32" t="s">
        <v>746</v>
      </c>
      <c r="H195" s="32" t="n">
        <v>3218913970</v>
      </c>
      <c r="I195" s="47" t="n">
        <v>3000</v>
      </c>
    </row>
    <row r="196" customFormat="false" ht="35.05" hidden="false" customHeight="false" outlineLevel="0" collapsed="false">
      <c r="A196" s="46" t="n">
        <v>44523</v>
      </c>
      <c r="B196" s="32" t="s">
        <v>747</v>
      </c>
      <c r="C196" s="32" t="s">
        <v>748</v>
      </c>
      <c r="D196" s="32" t="s">
        <v>725</v>
      </c>
      <c r="E196" s="39" t="s">
        <v>665</v>
      </c>
      <c r="F196" s="39" t="s">
        <v>666</v>
      </c>
      <c r="G196" s="32" t="s">
        <v>726</v>
      </c>
      <c r="H196" s="32" t="n">
        <v>32950551</v>
      </c>
      <c r="I196" s="47" t="n">
        <v>18300</v>
      </c>
    </row>
    <row r="197" customFormat="false" ht="35.05" hidden="false" customHeight="false" outlineLevel="0" collapsed="false">
      <c r="A197" s="46" t="n">
        <v>44529</v>
      </c>
      <c r="B197" s="32" t="s">
        <v>749</v>
      </c>
      <c r="C197" s="32" t="s">
        <v>750</v>
      </c>
      <c r="D197" s="32" t="s">
        <v>751</v>
      </c>
      <c r="E197" s="39" t="s">
        <v>665</v>
      </c>
      <c r="F197" s="39" t="s">
        <v>666</v>
      </c>
      <c r="G197" s="32" t="s">
        <v>752</v>
      </c>
      <c r="H197" s="32" t="n">
        <v>2462506970</v>
      </c>
      <c r="I197" s="47" t="n">
        <v>3900</v>
      </c>
    </row>
    <row r="198" customFormat="false" ht="35.05" hidden="false" customHeight="false" outlineLevel="0" collapsed="false">
      <c r="A198" s="46" t="n">
        <v>44532</v>
      </c>
      <c r="B198" s="32" t="s">
        <v>753</v>
      </c>
      <c r="C198" s="32" t="s">
        <v>754</v>
      </c>
      <c r="D198" s="32" t="s">
        <v>755</v>
      </c>
      <c r="E198" s="39" t="s">
        <v>665</v>
      </c>
      <c r="F198" s="39" t="s">
        <v>666</v>
      </c>
      <c r="G198" s="32" t="s">
        <v>756</v>
      </c>
      <c r="H198" s="32" t="n">
        <v>33542497</v>
      </c>
      <c r="I198" s="47" t="n">
        <v>9266</v>
      </c>
    </row>
    <row r="199" customFormat="false" ht="35.05" hidden="false" customHeight="false" outlineLevel="0" collapsed="false">
      <c r="A199" s="46" t="n">
        <v>44532</v>
      </c>
      <c r="B199" s="32" t="s">
        <v>757</v>
      </c>
      <c r="C199" s="32" t="s">
        <v>758</v>
      </c>
      <c r="D199" s="32" t="s">
        <v>755</v>
      </c>
      <c r="E199" s="39" t="s">
        <v>665</v>
      </c>
      <c r="F199" s="39" t="s">
        <v>666</v>
      </c>
      <c r="G199" s="32" t="s">
        <v>756</v>
      </c>
      <c r="H199" s="32" t="n">
        <v>33542497</v>
      </c>
      <c r="I199" s="47" t="n">
        <v>12542</v>
      </c>
    </row>
    <row r="200" customFormat="false" ht="35.05" hidden="false" customHeight="false" outlineLevel="0" collapsed="false">
      <c r="A200" s="46" t="n">
        <v>44532</v>
      </c>
      <c r="B200" s="32" t="s">
        <v>759</v>
      </c>
      <c r="C200" s="32" t="s">
        <v>760</v>
      </c>
      <c r="D200" s="32" t="s">
        <v>761</v>
      </c>
      <c r="E200" s="39" t="s">
        <v>665</v>
      </c>
      <c r="F200" s="39" t="s">
        <v>666</v>
      </c>
      <c r="G200" s="32" t="s">
        <v>667</v>
      </c>
      <c r="H200" s="32" t="n">
        <v>2744304058</v>
      </c>
      <c r="I200" s="47" t="n">
        <v>2500</v>
      </c>
    </row>
    <row r="201" customFormat="false" ht="35.05" hidden="false" customHeight="false" outlineLevel="0" collapsed="false">
      <c r="A201" s="46" t="n">
        <v>44536</v>
      </c>
      <c r="B201" s="32" t="s">
        <v>762</v>
      </c>
      <c r="C201" s="32" t="s">
        <v>319</v>
      </c>
      <c r="D201" s="32" t="s">
        <v>733</v>
      </c>
      <c r="E201" s="39" t="s">
        <v>665</v>
      </c>
      <c r="F201" s="39" t="s">
        <v>666</v>
      </c>
      <c r="G201" s="32" t="s">
        <v>320</v>
      </c>
      <c r="H201" s="32" t="n">
        <v>39417349</v>
      </c>
      <c r="I201" s="47" t="n">
        <v>11447.04</v>
      </c>
    </row>
    <row r="202" customFormat="false" ht="57.45" hidden="false" customHeight="false" outlineLevel="0" collapsed="false">
      <c r="A202" s="46" t="n">
        <v>44537</v>
      </c>
      <c r="B202" s="32" t="s">
        <v>763</v>
      </c>
      <c r="C202" s="32" t="s">
        <v>764</v>
      </c>
      <c r="D202" s="32" t="s">
        <v>765</v>
      </c>
      <c r="E202" s="39" t="s">
        <v>665</v>
      </c>
      <c r="F202" s="39" t="s">
        <v>666</v>
      </c>
      <c r="G202" s="32" t="s">
        <v>708</v>
      </c>
      <c r="H202" s="32" t="n">
        <v>41331842</v>
      </c>
      <c r="I202" s="47" t="n">
        <v>36500</v>
      </c>
    </row>
    <row r="203" customFormat="false" ht="46.25" hidden="false" customHeight="false" outlineLevel="0" collapsed="false">
      <c r="A203" s="46" t="n">
        <v>44539</v>
      </c>
      <c r="B203" s="32" t="s">
        <v>766</v>
      </c>
      <c r="C203" s="32" t="s">
        <v>744</v>
      </c>
      <c r="D203" s="32" t="s">
        <v>685</v>
      </c>
      <c r="E203" s="39" t="s">
        <v>665</v>
      </c>
      <c r="F203" s="39" t="s">
        <v>666</v>
      </c>
      <c r="G203" s="32" t="s">
        <v>746</v>
      </c>
      <c r="H203" s="32" t="n">
        <v>3218913970</v>
      </c>
      <c r="I203" s="47" t="n">
        <v>2920</v>
      </c>
    </row>
    <row r="204" customFormat="false" ht="46.25" hidden="false" customHeight="false" outlineLevel="0" collapsed="false">
      <c r="A204" s="46" t="n">
        <v>44539</v>
      </c>
      <c r="B204" s="32" t="s">
        <v>767</v>
      </c>
      <c r="C204" s="32" t="s">
        <v>768</v>
      </c>
      <c r="D204" s="32" t="s">
        <v>769</v>
      </c>
      <c r="E204" s="39" t="s">
        <v>665</v>
      </c>
      <c r="F204" s="39" t="s">
        <v>666</v>
      </c>
      <c r="G204" s="32" t="s">
        <v>770</v>
      </c>
      <c r="H204" s="48" t="n">
        <v>2149608199</v>
      </c>
      <c r="I204" s="47" t="n">
        <v>1200</v>
      </c>
    </row>
    <row r="205" customFormat="false" ht="35.05" hidden="false" customHeight="false" outlineLevel="0" collapsed="false">
      <c r="A205" s="46" t="n">
        <v>44540</v>
      </c>
      <c r="B205" s="32" t="s">
        <v>771</v>
      </c>
      <c r="C205" s="32" t="s">
        <v>772</v>
      </c>
      <c r="D205" s="32" t="s">
        <v>773</v>
      </c>
      <c r="E205" s="39" t="s">
        <v>665</v>
      </c>
      <c r="F205" s="39" t="s">
        <v>666</v>
      </c>
      <c r="G205" s="32" t="s">
        <v>774</v>
      </c>
      <c r="H205" s="32" t="n">
        <v>2818809399</v>
      </c>
      <c r="I205" s="47" t="n">
        <v>2500</v>
      </c>
    </row>
    <row r="206" customFormat="false" ht="46.25" hidden="false" customHeight="false" outlineLevel="0" collapsed="false">
      <c r="A206" s="46" t="n">
        <v>44543</v>
      </c>
      <c r="B206" s="32" t="s">
        <v>775</v>
      </c>
      <c r="C206" s="32" t="s">
        <v>776</v>
      </c>
      <c r="D206" s="32" t="s">
        <v>751</v>
      </c>
      <c r="E206" s="39" t="s">
        <v>665</v>
      </c>
      <c r="F206" s="39" t="s">
        <v>666</v>
      </c>
      <c r="G206" s="32" t="s">
        <v>752</v>
      </c>
      <c r="H206" s="32" t="n">
        <v>2462506970</v>
      </c>
      <c r="I206" s="47" t="n">
        <v>32900</v>
      </c>
    </row>
    <row r="207" customFormat="false" ht="57.45" hidden="false" customHeight="false" outlineLevel="0" collapsed="false">
      <c r="A207" s="46" t="n">
        <v>44543</v>
      </c>
      <c r="B207" s="32" t="s">
        <v>777</v>
      </c>
      <c r="C207" s="32" t="s">
        <v>778</v>
      </c>
      <c r="D207" s="32" t="s">
        <v>779</v>
      </c>
      <c r="E207" s="39" t="s">
        <v>665</v>
      </c>
      <c r="F207" s="39" t="s">
        <v>666</v>
      </c>
      <c r="G207" s="32" t="s">
        <v>780</v>
      </c>
      <c r="H207" s="32" t="n">
        <v>2652516844</v>
      </c>
      <c r="I207" s="47" t="n">
        <v>2400</v>
      </c>
    </row>
    <row r="208" customFormat="false" ht="35.05" hidden="false" customHeight="false" outlineLevel="0" collapsed="false">
      <c r="A208" s="46" t="n">
        <v>44543</v>
      </c>
      <c r="B208" s="32" t="s">
        <v>781</v>
      </c>
      <c r="C208" s="32" t="s">
        <v>782</v>
      </c>
      <c r="D208" s="32" t="s">
        <v>751</v>
      </c>
      <c r="E208" s="39" t="s">
        <v>665</v>
      </c>
      <c r="F208" s="39" t="s">
        <v>666</v>
      </c>
      <c r="G208" s="32" t="s">
        <v>752</v>
      </c>
      <c r="H208" s="32" t="n">
        <v>2462506970</v>
      </c>
      <c r="I208" s="47" t="n">
        <v>6390</v>
      </c>
    </row>
    <row r="209" customFormat="false" ht="35.05" hidden="false" customHeight="false" outlineLevel="0" collapsed="false">
      <c r="A209" s="46" t="n">
        <v>44543</v>
      </c>
      <c r="B209" s="32" t="s">
        <v>783</v>
      </c>
      <c r="C209" s="32" t="s">
        <v>784</v>
      </c>
      <c r="D209" s="32" t="s">
        <v>785</v>
      </c>
      <c r="E209" s="39" t="s">
        <v>665</v>
      </c>
      <c r="F209" s="39" t="s">
        <v>666</v>
      </c>
      <c r="G209" s="32" t="s">
        <v>786</v>
      </c>
      <c r="H209" s="32" t="n">
        <v>43808856</v>
      </c>
      <c r="I209" s="47" t="n">
        <v>44066</v>
      </c>
    </row>
    <row r="210" customFormat="false" ht="68.65" hidden="false" customHeight="false" outlineLevel="0" collapsed="false">
      <c r="A210" s="46" t="n">
        <v>44551</v>
      </c>
      <c r="B210" s="32" t="s">
        <v>787</v>
      </c>
      <c r="C210" s="32" t="s">
        <v>485</v>
      </c>
      <c r="D210" s="32" t="s">
        <v>788</v>
      </c>
      <c r="E210" s="39" t="s">
        <v>665</v>
      </c>
      <c r="F210" s="39" t="s">
        <v>666</v>
      </c>
      <c r="G210" s="32" t="s">
        <v>789</v>
      </c>
      <c r="H210" s="32" t="n">
        <v>31975926</v>
      </c>
      <c r="I210" s="47" t="n">
        <v>2976</v>
      </c>
    </row>
    <row r="211" customFormat="false" ht="57.45" hidden="false" customHeight="false" outlineLevel="0" collapsed="false">
      <c r="A211" s="46" t="n">
        <v>44552</v>
      </c>
      <c r="B211" s="32" t="s">
        <v>790</v>
      </c>
      <c r="C211" s="32" t="s">
        <v>791</v>
      </c>
      <c r="D211" s="32" t="s">
        <v>792</v>
      </c>
      <c r="E211" s="39" t="s">
        <v>665</v>
      </c>
      <c r="F211" s="39" t="s">
        <v>666</v>
      </c>
      <c r="G211" s="32" t="s">
        <v>793</v>
      </c>
      <c r="H211" s="32" t="n">
        <v>24175269</v>
      </c>
      <c r="I211" s="47" t="n">
        <v>3055</v>
      </c>
    </row>
    <row r="212" customFormat="false" ht="35.05" hidden="false" customHeight="false" outlineLevel="0" collapsed="false">
      <c r="A212" s="46" t="n">
        <v>44553</v>
      </c>
      <c r="B212" s="32" t="s">
        <v>794</v>
      </c>
      <c r="C212" s="32" t="s">
        <v>795</v>
      </c>
      <c r="D212" s="32" t="s">
        <v>796</v>
      </c>
      <c r="E212" s="39" t="s">
        <v>665</v>
      </c>
      <c r="F212" s="39" t="s">
        <v>666</v>
      </c>
      <c r="G212" s="32" t="s">
        <v>797</v>
      </c>
      <c r="H212" s="32" t="n">
        <v>23359034</v>
      </c>
      <c r="I212" s="47" t="n">
        <v>29645.83</v>
      </c>
    </row>
    <row r="213" customFormat="false" ht="46.25" hidden="false" customHeight="false" outlineLevel="0" collapsed="false">
      <c r="A213" s="46" t="n">
        <v>44554</v>
      </c>
      <c r="B213" s="32" t="s">
        <v>798</v>
      </c>
      <c r="C213" s="32" t="s">
        <v>799</v>
      </c>
      <c r="D213" s="32" t="s">
        <v>800</v>
      </c>
      <c r="E213" s="39" t="s">
        <v>665</v>
      </c>
      <c r="F213" s="39" t="s">
        <v>666</v>
      </c>
      <c r="G213" s="32" t="s">
        <v>780</v>
      </c>
      <c r="H213" s="32" t="n">
        <v>2652516844</v>
      </c>
      <c r="I213" s="47" t="n">
        <v>2700</v>
      </c>
    </row>
    <row r="214" customFormat="false" ht="35.05" hidden="false" customHeight="false" outlineLevel="0" collapsed="false">
      <c r="A214" s="46" t="n">
        <v>44554</v>
      </c>
      <c r="B214" s="32" t="s">
        <v>801</v>
      </c>
      <c r="C214" s="32" t="s">
        <v>802</v>
      </c>
      <c r="D214" s="32" t="s">
        <v>803</v>
      </c>
      <c r="E214" s="39" t="s">
        <v>665</v>
      </c>
      <c r="F214" s="39" t="s">
        <v>666</v>
      </c>
      <c r="G214" s="32" t="s">
        <v>804</v>
      </c>
      <c r="H214" s="32" t="n">
        <v>3363192</v>
      </c>
      <c r="I214" s="47" t="n">
        <v>520</v>
      </c>
    </row>
    <row r="215" customFormat="false" ht="57.45" hidden="false" customHeight="false" outlineLevel="0" collapsed="false">
      <c r="A215" s="46" t="n">
        <v>44554</v>
      </c>
      <c r="B215" s="32" t="s">
        <v>805</v>
      </c>
      <c r="C215" s="32" t="s">
        <v>806</v>
      </c>
      <c r="D215" s="32" t="s">
        <v>803</v>
      </c>
      <c r="E215" s="39" t="s">
        <v>665</v>
      </c>
      <c r="F215" s="39" t="s">
        <v>666</v>
      </c>
      <c r="G215" s="32" t="s">
        <v>804</v>
      </c>
      <c r="H215" s="32" t="n">
        <v>3363192</v>
      </c>
      <c r="I215" s="47" t="n">
        <v>830</v>
      </c>
    </row>
    <row r="216" customFormat="false" ht="46.25" hidden="false" customHeight="false" outlineLevel="0" collapsed="false">
      <c r="A216" s="46" t="n">
        <v>44554</v>
      </c>
      <c r="B216" s="32" t="s">
        <v>807</v>
      </c>
      <c r="C216" s="32" t="s">
        <v>808</v>
      </c>
      <c r="D216" s="32" t="s">
        <v>803</v>
      </c>
      <c r="E216" s="39" t="s">
        <v>665</v>
      </c>
      <c r="F216" s="39" t="s">
        <v>666</v>
      </c>
      <c r="G216" s="32" t="s">
        <v>804</v>
      </c>
      <c r="H216" s="32" t="n">
        <v>3363192</v>
      </c>
      <c r="I216" s="47" t="n">
        <v>830</v>
      </c>
    </row>
    <row r="217" customFormat="false" ht="68.65" hidden="false" customHeight="false" outlineLevel="0" collapsed="false">
      <c r="A217" s="46" t="n">
        <v>44558</v>
      </c>
      <c r="B217" s="32" t="s">
        <v>809</v>
      </c>
      <c r="C217" s="32" t="s">
        <v>485</v>
      </c>
      <c r="D217" s="32" t="s">
        <v>788</v>
      </c>
      <c r="E217" s="39" t="s">
        <v>665</v>
      </c>
      <c r="F217" s="39" t="s">
        <v>666</v>
      </c>
      <c r="G217" s="32" t="s">
        <v>789</v>
      </c>
      <c r="H217" s="32" t="n">
        <v>31975926</v>
      </c>
      <c r="I217" s="47" t="n">
        <v>2772</v>
      </c>
    </row>
    <row r="218" customFormat="false" ht="35.05" hidden="false" customHeight="false" outlineLevel="0" collapsed="false">
      <c r="A218" s="46" t="n">
        <v>44558</v>
      </c>
      <c r="B218" s="32" t="s">
        <v>810</v>
      </c>
      <c r="C218" s="32" t="s">
        <v>811</v>
      </c>
      <c r="D218" s="32" t="s">
        <v>812</v>
      </c>
      <c r="E218" s="39" t="s">
        <v>665</v>
      </c>
      <c r="F218" s="39" t="s">
        <v>666</v>
      </c>
      <c r="G218" s="32" t="s">
        <v>702</v>
      </c>
      <c r="H218" s="32" t="n">
        <v>2680806725</v>
      </c>
      <c r="I218" s="47" t="n">
        <v>1200</v>
      </c>
    </row>
    <row r="219" customFormat="false" ht="35.05" hidden="false" customHeight="false" outlineLevel="0" collapsed="false">
      <c r="A219" s="46" t="n">
        <v>44558</v>
      </c>
      <c r="B219" s="32" t="s">
        <v>813</v>
      </c>
      <c r="C219" s="32" t="s">
        <v>814</v>
      </c>
      <c r="D219" s="32" t="s">
        <v>815</v>
      </c>
      <c r="E219" s="39" t="s">
        <v>665</v>
      </c>
      <c r="F219" s="39" t="s">
        <v>666</v>
      </c>
      <c r="G219" s="32" t="s">
        <v>756</v>
      </c>
      <c r="H219" s="32" t="n">
        <v>33542497</v>
      </c>
      <c r="I219" s="47" t="n">
        <v>2610</v>
      </c>
    </row>
    <row r="220" customFormat="false" ht="35.05" hidden="false" customHeight="false" outlineLevel="0" collapsed="false">
      <c r="A220" s="46" t="n">
        <v>44559</v>
      </c>
      <c r="B220" s="32" t="s">
        <v>816</v>
      </c>
      <c r="C220" s="32" t="s">
        <v>817</v>
      </c>
      <c r="D220" s="32" t="s">
        <v>818</v>
      </c>
      <c r="E220" s="39" t="s">
        <v>665</v>
      </c>
      <c r="F220" s="39" t="s">
        <v>666</v>
      </c>
      <c r="G220" s="32" t="s">
        <v>667</v>
      </c>
      <c r="H220" s="32" t="n">
        <v>2744304058</v>
      </c>
      <c r="I220" s="47" t="n">
        <v>24060</v>
      </c>
    </row>
    <row r="221" customFormat="false" ht="36.55" hidden="false" customHeight="false" outlineLevel="0" collapsed="false">
      <c r="A221" s="38" t="n">
        <v>44473</v>
      </c>
      <c r="B221" s="39" t="s">
        <v>819</v>
      </c>
      <c r="C221" s="39" t="s">
        <v>820</v>
      </c>
      <c r="D221" s="39" t="s">
        <v>693</v>
      </c>
      <c r="E221" s="39" t="s">
        <v>821</v>
      </c>
      <c r="F221" s="39" t="s">
        <v>822</v>
      </c>
      <c r="G221" s="39" t="s">
        <v>823</v>
      </c>
      <c r="H221" s="39" t="s">
        <v>824</v>
      </c>
      <c r="I221" s="40" t="n">
        <v>18400</v>
      </c>
    </row>
    <row r="222" customFormat="false" ht="81.3" hidden="false" customHeight="false" outlineLevel="0" collapsed="false">
      <c r="A222" s="38" t="n">
        <v>44475</v>
      </c>
      <c r="B222" s="39" t="s">
        <v>825</v>
      </c>
      <c r="C222" s="39" t="s">
        <v>826</v>
      </c>
      <c r="D222" s="39" t="s">
        <v>827</v>
      </c>
      <c r="E222" s="39" t="s">
        <v>821</v>
      </c>
      <c r="F222" s="39" t="s">
        <v>822</v>
      </c>
      <c r="G222" s="39" t="s">
        <v>828</v>
      </c>
      <c r="H222" s="49" t="n">
        <v>1985110</v>
      </c>
      <c r="I222" s="40" t="n">
        <v>7500</v>
      </c>
    </row>
    <row r="223" customFormat="false" ht="25.35" hidden="false" customHeight="false" outlineLevel="0" collapsed="false">
      <c r="A223" s="38" t="n">
        <v>44480</v>
      </c>
      <c r="B223" s="39" t="s">
        <v>829</v>
      </c>
      <c r="C223" s="39" t="s">
        <v>830</v>
      </c>
      <c r="D223" s="39" t="s">
        <v>693</v>
      </c>
      <c r="E223" s="39" t="s">
        <v>821</v>
      </c>
      <c r="F223" s="39" t="s">
        <v>822</v>
      </c>
      <c r="G223" s="39" t="s">
        <v>831</v>
      </c>
      <c r="H223" s="39" t="s">
        <v>832</v>
      </c>
      <c r="I223" s="40" t="n">
        <v>36000</v>
      </c>
    </row>
    <row r="224" customFormat="false" ht="47.75" hidden="false" customHeight="false" outlineLevel="0" collapsed="false">
      <c r="A224" s="38" t="n">
        <v>44480</v>
      </c>
      <c r="B224" s="39" t="s">
        <v>833</v>
      </c>
      <c r="C224" s="39" t="s">
        <v>834</v>
      </c>
      <c r="D224" s="39" t="s">
        <v>711</v>
      </c>
      <c r="E224" s="39" t="s">
        <v>821</v>
      </c>
      <c r="F224" s="39" t="s">
        <v>822</v>
      </c>
      <c r="G224" s="39" t="s">
        <v>835</v>
      </c>
      <c r="H224" s="39" t="s">
        <v>836</v>
      </c>
      <c r="I224" s="40" t="n">
        <v>2917.5</v>
      </c>
    </row>
    <row r="225" customFormat="false" ht="25.35" hidden="false" customHeight="false" outlineLevel="0" collapsed="false">
      <c r="A225" s="38" t="n">
        <v>44480</v>
      </c>
      <c r="B225" s="39" t="s">
        <v>837</v>
      </c>
      <c r="C225" s="39" t="s">
        <v>838</v>
      </c>
      <c r="D225" s="39" t="s">
        <v>693</v>
      </c>
      <c r="E225" s="39" t="s">
        <v>821</v>
      </c>
      <c r="F225" s="39" t="s">
        <v>822</v>
      </c>
      <c r="G225" s="39" t="s">
        <v>835</v>
      </c>
      <c r="H225" s="39" t="s">
        <v>836</v>
      </c>
      <c r="I225" s="40" t="n">
        <v>31200</v>
      </c>
    </row>
    <row r="226" customFormat="false" ht="114.9" hidden="false" customHeight="false" outlineLevel="0" collapsed="false">
      <c r="A226" s="38" t="n">
        <v>44481</v>
      </c>
      <c r="B226" s="39" t="s">
        <v>839</v>
      </c>
      <c r="C226" s="39" t="s">
        <v>840</v>
      </c>
      <c r="D226" s="39" t="s">
        <v>841</v>
      </c>
      <c r="E226" s="39" t="s">
        <v>821</v>
      </c>
      <c r="F226" s="39" t="s">
        <v>822</v>
      </c>
      <c r="G226" s="39" t="s">
        <v>842</v>
      </c>
      <c r="H226" s="39" t="s">
        <v>843</v>
      </c>
      <c r="I226" s="40" t="n">
        <v>3003.02</v>
      </c>
    </row>
    <row r="227" customFormat="false" ht="58.95" hidden="false" customHeight="false" outlineLevel="0" collapsed="false">
      <c r="A227" s="38" t="n">
        <v>44487</v>
      </c>
      <c r="B227" s="39" t="s">
        <v>844</v>
      </c>
      <c r="C227" s="39" t="s">
        <v>845</v>
      </c>
      <c r="D227" s="39" t="s">
        <v>846</v>
      </c>
      <c r="E227" s="39" t="s">
        <v>821</v>
      </c>
      <c r="F227" s="39" t="s">
        <v>822</v>
      </c>
      <c r="G227" s="39" t="s">
        <v>847</v>
      </c>
      <c r="H227" s="39" t="s">
        <v>848</v>
      </c>
      <c r="I227" s="40" t="n">
        <v>5184</v>
      </c>
    </row>
    <row r="228" customFormat="false" ht="25.35" hidden="false" customHeight="false" outlineLevel="0" collapsed="false">
      <c r="A228" s="38" t="n">
        <v>44487</v>
      </c>
      <c r="B228" s="39" t="s">
        <v>849</v>
      </c>
      <c r="C228" s="39" t="s">
        <v>45</v>
      </c>
      <c r="D228" s="39" t="s">
        <v>850</v>
      </c>
      <c r="E228" s="39" t="s">
        <v>821</v>
      </c>
      <c r="F228" s="39" t="s">
        <v>822</v>
      </c>
      <c r="G228" s="39" t="s">
        <v>851</v>
      </c>
      <c r="H228" s="39" t="s">
        <v>852</v>
      </c>
      <c r="I228" s="40" t="n">
        <v>15780</v>
      </c>
    </row>
    <row r="229" customFormat="false" ht="81.3" hidden="false" customHeight="false" outlineLevel="0" collapsed="false">
      <c r="A229" s="38" t="n">
        <v>44488</v>
      </c>
      <c r="B229" s="39" t="s">
        <v>853</v>
      </c>
      <c r="C229" s="39" t="s">
        <v>854</v>
      </c>
      <c r="D229" s="39" t="s">
        <v>855</v>
      </c>
      <c r="E229" s="39" t="s">
        <v>821</v>
      </c>
      <c r="F229" s="39" t="s">
        <v>822</v>
      </c>
      <c r="G229" s="39" t="s">
        <v>856</v>
      </c>
      <c r="H229" s="39" t="s">
        <v>857</v>
      </c>
      <c r="I229" s="40" t="n">
        <v>30000</v>
      </c>
    </row>
    <row r="230" customFormat="false" ht="47.75" hidden="false" customHeight="false" outlineLevel="0" collapsed="false">
      <c r="A230" s="38" t="n">
        <v>44488</v>
      </c>
      <c r="B230" s="39" t="s">
        <v>858</v>
      </c>
      <c r="C230" s="39" t="s">
        <v>859</v>
      </c>
      <c r="D230" s="39" t="s">
        <v>860</v>
      </c>
      <c r="E230" s="39" t="s">
        <v>821</v>
      </c>
      <c r="F230" s="39" t="s">
        <v>822</v>
      </c>
      <c r="G230" s="39" t="s">
        <v>861</v>
      </c>
      <c r="H230" s="39" t="s">
        <v>862</v>
      </c>
      <c r="I230" s="40" t="n">
        <v>4500</v>
      </c>
    </row>
    <row r="231" customFormat="false" ht="47.75" hidden="false" customHeight="false" outlineLevel="0" collapsed="false">
      <c r="A231" s="38" t="n">
        <v>44496</v>
      </c>
      <c r="B231" s="39" t="s">
        <v>863</v>
      </c>
      <c r="C231" s="39" t="s">
        <v>864</v>
      </c>
      <c r="D231" s="39" t="s">
        <v>711</v>
      </c>
      <c r="E231" s="39" t="s">
        <v>821</v>
      </c>
      <c r="F231" s="39" t="s">
        <v>822</v>
      </c>
      <c r="G231" s="39" t="s">
        <v>835</v>
      </c>
      <c r="H231" s="39" t="s">
        <v>836</v>
      </c>
      <c r="I231" s="40" t="n">
        <v>49200</v>
      </c>
    </row>
    <row r="232" customFormat="false" ht="114.9" hidden="false" customHeight="false" outlineLevel="0" collapsed="false">
      <c r="A232" s="38" t="n">
        <v>44501</v>
      </c>
      <c r="B232" s="39" t="s">
        <v>865</v>
      </c>
      <c r="C232" s="39" t="s">
        <v>866</v>
      </c>
      <c r="D232" s="39" t="s">
        <v>867</v>
      </c>
      <c r="E232" s="39" t="s">
        <v>821</v>
      </c>
      <c r="F232" s="39" t="s">
        <v>822</v>
      </c>
      <c r="G232" s="39" t="s">
        <v>868</v>
      </c>
      <c r="H232" s="39" t="s">
        <v>869</v>
      </c>
      <c r="I232" s="40" t="n">
        <v>5100</v>
      </c>
    </row>
    <row r="233" customFormat="false" ht="103.7" hidden="false" customHeight="false" outlineLevel="0" collapsed="false">
      <c r="A233" s="38" t="n">
        <v>44501</v>
      </c>
      <c r="B233" s="39" t="s">
        <v>870</v>
      </c>
      <c r="C233" s="39" t="s">
        <v>871</v>
      </c>
      <c r="D233" s="39" t="s">
        <v>765</v>
      </c>
      <c r="E233" s="39" t="s">
        <v>821</v>
      </c>
      <c r="F233" s="39" t="s">
        <v>822</v>
      </c>
      <c r="G233" s="39" t="s">
        <v>835</v>
      </c>
      <c r="H233" s="39" t="s">
        <v>836</v>
      </c>
      <c r="I233" s="40" t="n">
        <v>49740</v>
      </c>
    </row>
    <row r="234" customFormat="false" ht="25.35" hidden="false" customHeight="false" outlineLevel="0" collapsed="false">
      <c r="A234" s="38" t="n">
        <v>44501</v>
      </c>
      <c r="B234" s="39" t="s">
        <v>872</v>
      </c>
      <c r="C234" s="39" t="s">
        <v>873</v>
      </c>
      <c r="D234" s="39" t="s">
        <v>693</v>
      </c>
      <c r="E234" s="39" t="s">
        <v>821</v>
      </c>
      <c r="F234" s="39" t="s">
        <v>822</v>
      </c>
      <c r="G234" s="39" t="s">
        <v>831</v>
      </c>
      <c r="H234" s="39" t="s">
        <v>832</v>
      </c>
      <c r="I234" s="40" t="n">
        <v>49920</v>
      </c>
    </row>
    <row r="235" customFormat="false" ht="70.1" hidden="false" customHeight="false" outlineLevel="0" collapsed="false">
      <c r="A235" s="38" t="n">
        <v>44505</v>
      </c>
      <c r="B235" s="39" t="s">
        <v>874</v>
      </c>
      <c r="C235" s="39" t="s">
        <v>875</v>
      </c>
      <c r="D235" s="39" t="s">
        <v>876</v>
      </c>
      <c r="E235" s="39" t="s">
        <v>821</v>
      </c>
      <c r="F235" s="39" t="s">
        <v>822</v>
      </c>
      <c r="G235" s="39" t="s">
        <v>877</v>
      </c>
      <c r="H235" s="39" t="s">
        <v>878</v>
      </c>
      <c r="I235" s="40" t="n">
        <v>27000</v>
      </c>
    </row>
    <row r="236" customFormat="false" ht="70.1" hidden="false" customHeight="false" outlineLevel="0" collapsed="false">
      <c r="A236" s="41" t="n">
        <v>44505</v>
      </c>
      <c r="B236" s="32" t="s">
        <v>879</v>
      </c>
      <c r="C236" s="32" t="s">
        <v>880</v>
      </c>
      <c r="D236" s="32" t="s">
        <v>881</v>
      </c>
      <c r="E236" s="39" t="s">
        <v>821</v>
      </c>
      <c r="F236" s="39" t="s">
        <v>822</v>
      </c>
      <c r="G236" s="39" t="s">
        <v>877</v>
      </c>
      <c r="H236" s="39" t="s">
        <v>878</v>
      </c>
      <c r="I236" s="40" t="n">
        <v>8280</v>
      </c>
    </row>
    <row r="237" customFormat="false" ht="47.75" hidden="false" customHeight="false" outlineLevel="0" collapsed="false">
      <c r="A237" s="41" t="n">
        <v>44510</v>
      </c>
      <c r="B237" s="32" t="s">
        <v>882</v>
      </c>
      <c r="C237" s="32" t="s">
        <v>883</v>
      </c>
      <c r="D237" s="32" t="s">
        <v>884</v>
      </c>
      <c r="E237" s="39" t="s">
        <v>821</v>
      </c>
      <c r="F237" s="39" t="s">
        <v>822</v>
      </c>
      <c r="G237" s="32" t="s">
        <v>885</v>
      </c>
      <c r="H237" s="32" t="n">
        <v>2332906396</v>
      </c>
      <c r="I237" s="47" t="n">
        <v>49898</v>
      </c>
    </row>
    <row r="238" customFormat="false" ht="70.1" hidden="false" customHeight="false" outlineLevel="0" collapsed="false">
      <c r="A238" s="41" t="n">
        <v>44511</v>
      </c>
      <c r="B238" s="32" t="s">
        <v>886</v>
      </c>
      <c r="C238" s="32" t="s">
        <v>887</v>
      </c>
      <c r="D238" s="32" t="s">
        <v>881</v>
      </c>
      <c r="E238" s="39" t="s">
        <v>821</v>
      </c>
      <c r="F238" s="39" t="s">
        <v>822</v>
      </c>
      <c r="G238" s="39" t="s">
        <v>877</v>
      </c>
      <c r="H238" s="39" t="s">
        <v>878</v>
      </c>
      <c r="I238" s="47" t="n">
        <v>41400</v>
      </c>
    </row>
    <row r="239" customFormat="false" ht="47.75" hidden="false" customHeight="false" outlineLevel="0" collapsed="false">
      <c r="A239" s="41" t="n">
        <v>44511</v>
      </c>
      <c r="B239" s="32" t="s">
        <v>888</v>
      </c>
      <c r="C239" s="32" t="s">
        <v>889</v>
      </c>
      <c r="D239" s="32" t="s">
        <v>785</v>
      </c>
      <c r="E239" s="39" t="s">
        <v>821</v>
      </c>
      <c r="F239" s="39" t="s">
        <v>822</v>
      </c>
      <c r="G239" s="32" t="s">
        <v>890</v>
      </c>
      <c r="H239" s="32" t="n">
        <v>43808856</v>
      </c>
      <c r="I239" s="47" t="n">
        <v>37710.5</v>
      </c>
    </row>
    <row r="240" customFormat="false" ht="47.75" hidden="false" customHeight="false" outlineLevel="0" collapsed="false">
      <c r="A240" s="41" t="n">
        <v>44511</v>
      </c>
      <c r="B240" s="32" t="s">
        <v>891</v>
      </c>
      <c r="C240" s="32" t="s">
        <v>892</v>
      </c>
      <c r="D240" s="32" t="s">
        <v>693</v>
      </c>
      <c r="E240" s="39" t="s">
        <v>821</v>
      </c>
      <c r="F240" s="39" t="s">
        <v>822</v>
      </c>
      <c r="G240" s="32" t="s">
        <v>890</v>
      </c>
      <c r="H240" s="32" t="n">
        <v>43808856</v>
      </c>
      <c r="I240" s="47" t="n">
        <v>16580</v>
      </c>
    </row>
    <row r="241" customFormat="false" ht="25.35" hidden="false" customHeight="false" outlineLevel="0" collapsed="false">
      <c r="A241" s="41" t="n">
        <v>44516</v>
      </c>
      <c r="B241" s="32" t="s">
        <v>893</v>
      </c>
      <c r="C241" s="32" t="s">
        <v>894</v>
      </c>
      <c r="D241" s="32" t="s">
        <v>895</v>
      </c>
      <c r="E241" s="39" t="s">
        <v>821</v>
      </c>
      <c r="F241" s="39" t="s">
        <v>822</v>
      </c>
      <c r="G241" s="32" t="s">
        <v>896</v>
      </c>
      <c r="H241" s="32" t="n">
        <v>2554205214</v>
      </c>
      <c r="I241" s="47" t="n">
        <v>2200</v>
      </c>
    </row>
    <row r="242" customFormat="false" ht="36.55" hidden="false" customHeight="false" outlineLevel="0" collapsed="false">
      <c r="A242" s="41" t="n">
        <v>44516</v>
      </c>
      <c r="B242" s="32" t="s">
        <v>897</v>
      </c>
      <c r="C242" s="32" t="s">
        <v>898</v>
      </c>
      <c r="D242" s="32" t="s">
        <v>899</v>
      </c>
      <c r="E242" s="39" t="s">
        <v>821</v>
      </c>
      <c r="F242" s="39" t="s">
        <v>822</v>
      </c>
      <c r="G242" s="32" t="s">
        <v>896</v>
      </c>
      <c r="H242" s="32" t="n">
        <v>2554205214</v>
      </c>
      <c r="I242" s="47" t="n">
        <v>494.5</v>
      </c>
    </row>
    <row r="243" customFormat="false" ht="58.95" hidden="false" customHeight="false" outlineLevel="0" collapsed="false">
      <c r="A243" s="41" t="n">
        <v>44519</v>
      </c>
      <c r="B243" s="32" t="s">
        <v>900</v>
      </c>
      <c r="C243" s="32" t="s">
        <v>901</v>
      </c>
      <c r="D243" s="32" t="s">
        <v>745</v>
      </c>
      <c r="E243" s="39" t="s">
        <v>821</v>
      </c>
      <c r="F243" s="39" t="s">
        <v>822</v>
      </c>
      <c r="G243" s="32" t="s">
        <v>902</v>
      </c>
      <c r="H243" s="32" t="n">
        <v>2637805398</v>
      </c>
      <c r="I243" s="47" t="n">
        <v>4310</v>
      </c>
    </row>
    <row r="244" customFormat="false" ht="25.35" hidden="false" customHeight="false" outlineLevel="0" collapsed="false">
      <c r="A244" s="41" t="n">
        <v>44519</v>
      </c>
      <c r="B244" s="32" t="s">
        <v>903</v>
      </c>
      <c r="C244" s="32" t="s">
        <v>904</v>
      </c>
      <c r="D244" s="32" t="s">
        <v>905</v>
      </c>
      <c r="E244" s="39" t="s">
        <v>821</v>
      </c>
      <c r="F244" s="39" t="s">
        <v>822</v>
      </c>
      <c r="G244" s="32" t="s">
        <v>906</v>
      </c>
      <c r="H244" s="32" t="n">
        <v>2673105588</v>
      </c>
      <c r="I244" s="47" t="n">
        <v>12804</v>
      </c>
    </row>
    <row r="245" customFormat="false" ht="25.35" hidden="false" customHeight="false" outlineLevel="0" collapsed="false">
      <c r="A245" s="41" t="n">
        <v>44519</v>
      </c>
      <c r="B245" s="32" t="s">
        <v>907</v>
      </c>
      <c r="C245" s="32" t="s">
        <v>908</v>
      </c>
      <c r="D245" s="32" t="s">
        <v>909</v>
      </c>
      <c r="E245" s="39" t="s">
        <v>821</v>
      </c>
      <c r="F245" s="39" t="s">
        <v>822</v>
      </c>
      <c r="G245" s="39" t="s">
        <v>831</v>
      </c>
      <c r="H245" s="39" t="s">
        <v>832</v>
      </c>
      <c r="I245" s="47" t="n">
        <v>10250</v>
      </c>
    </row>
    <row r="246" customFormat="false" ht="47.75" hidden="false" customHeight="false" outlineLevel="0" collapsed="false">
      <c r="A246" s="41" t="n">
        <v>44519</v>
      </c>
      <c r="B246" s="32" t="s">
        <v>910</v>
      </c>
      <c r="C246" s="32" t="s">
        <v>911</v>
      </c>
      <c r="D246" s="32" t="s">
        <v>912</v>
      </c>
      <c r="E246" s="39" t="s">
        <v>821</v>
      </c>
      <c r="F246" s="39" t="s">
        <v>822</v>
      </c>
      <c r="G246" s="32" t="s">
        <v>913</v>
      </c>
      <c r="H246" s="32" t="n">
        <v>43890029</v>
      </c>
      <c r="I246" s="47" t="n">
        <v>555.9</v>
      </c>
    </row>
    <row r="247" customFormat="false" ht="36.55" hidden="false" customHeight="false" outlineLevel="0" collapsed="false">
      <c r="A247" s="41" t="n">
        <v>44522</v>
      </c>
      <c r="B247" s="32" t="s">
        <v>914</v>
      </c>
      <c r="C247" s="32" t="s">
        <v>915</v>
      </c>
      <c r="D247" s="32" t="s">
        <v>916</v>
      </c>
      <c r="E247" s="39" t="s">
        <v>821</v>
      </c>
      <c r="F247" s="39" t="s">
        <v>822</v>
      </c>
      <c r="G247" s="39" t="s">
        <v>851</v>
      </c>
      <c r="H247" s="39" t="s">
        <v>852</v>
      </c>
      <c r="I247" s="47" t="n">
        <v>27600</v>
      </c>
    </row>
    <row r="248" customFormat="false" ht="58.95" hidden="false" customHeight="false" outlineLevel="0" collapsed="false">
      <c r="A248" s="41" t="n">
        <v>44522</v>
      </c>
      <c r="B248" s="32" t="s">
        <v>917</v>
      </c>
      <c r="C248" s="32" t="s">
        <v>918</v>
      </c>
      <c r="D248" s="32" t="s">
        <v>919</v>
      </c>
      <c r="E248" s="39" t="s">
        <v>821</v>
      </c>
      <c r="F248" s="39" t="s">
        <v>822</v>
      </c>
      <c r="G248" s="39" t="s">
        <v>920</v>
      </c>
      <c r="H248" s="39" t="s">
        <v>921</v>
      </c>
      <c r="I248" s="47" t="n">
        <v>25000</v>
      </c>
    </row>
    <row r="249" customFormat="false" ht="58.95" hidden="false" customHeight="false" outlineLevel="0" collapsed="false">
      <c r="A249" s="41" t="n">
        <v>44522</v>
      </c>
      <c r="B249" s="32" t="s">
        <v>922</v>
      </c>
      <c r="C249" s="32" t="s">
        <v>923</v>
      </c>
      <c r="D249" s="32" t="s">
        <v>924</v>
      </c>
      <c r="E249" s="39" t="s">
        <v>821</v>
      </c>
      <c r="F249" s="39" t="s">
        <v>822</v>
      </c>
      <c r="G249" s="39" t="s">
        <v>920</v>
      </c>
      <c r="H249" s="39" t="s">
        <v>921</v>
      </c>
      <c r="I249" s="47" t="n">
        <v>49999</v>
      </c>
    </row>
    <row r="250" customFormat="false" ht="47.75" hidden="false" customHeight="false" outlineLevel="0" collapsed="false">
      <c r="A250" s="41" t="n">
        <v>44524</v>
      </c>
      <c r="B250" s="32" t="s">
        <v>925</v>
      </c>
      <c r="C250" s="32" t="s">
        <v>926</v>
      </c>
      <c r="D250" s="32" t="s">
        <v>693</v>
      </c>
      <c r="E250" s="39" t="s">
        <v>821</v>
      </c>
      <c r="F250" s="39" t="s">
        <v>822</v>
      </c>
      <c r="G250" s="49" t="s">
        <v>927</v>
      </c>
      <c r="H250" s="32" t="n">
        <v>44480716</v>
      </c>
      <c r="I250" s="47" t="n">
        <v>2910</v>
      </c>
    </row>
    <row r="251" customFormat="false" ht="114.9" hidden="false" customHeight="false" outlineLevel="0" collapsed="false">
      <c r="A251" s="41" t="n">
        <v>44524</v>
      </c>
      <c r="B251" s="32" t="s">
        <v>928</v>
      </c>
      <c r="C251" s="32" t="s">
        <v>929</v>
      </c>
      <c r="D251" s="32" t="s">
        <v>867</v>
      </c>
      <c r="E251" s="39" t="s">
        <v>821</v>
      </c>
      <c r="F251" s="39" t="s">
        <v>822</v>
      </c>
      <c r="G251" s="32" t="s">
        <v>868</v>
      </c>
      <c r="H251" s="32" t="n">
        <v>1896694</v>
      </c>
      <c r="I251" s="47" t="n">
        <v>6800</v>
      </c>
    </row>
    <row r="252" customFormat="false" ht="47.75" hidden="false" customHeight="false" outlineLevel="0" collapsed="false">
      <c r="A252" s="41" t="n">
        <v>44525</v>
      </c>
      <c r="B252" s="32" t="s">
        <v>930</v>
      </c>
      <c r="C252" s="32" t="s">
        <v>931</v>
      </c>
      <c r="D252" s="32" t="s">
        <v>785</v>
      </c>
      <c r="E252" s="39" t="s">
        <v>821</v>
      </c>
      <c r="F252" s="39" t="s">
        <v>822</v>
      </c>
      <c r="G252" s="32" t="s">
        <v>932</v>
      </c>
      <c r="H252" s="32" t="n">
        <v>36705378</v>
      </c>
      <c r="I252" s="47" t="n">
        <v>15600</v>
      </c>
    </row>
    <row r="253" customFormat="false" ht="36.55" hidden="false" customHeight="false" outlineLevel="0" collapsed="false">
      <c r="A253" s="41" t="n">
        <v>44526</v>
      </c>
      <c r="B253" s="32" t="s">
        <v>933</v>
      </c>
      <c r="C253" s="32" t="s">
        <v>750</v>
      </c>
      <c r="D253" s="32" t="s">
        <v>751</v>
      </c>
      <c r="E253" s="39" t="s">
        <v>821</v>
      </c>
      <c r="F253" s="39" t="s">
        <v>822</v>
      </c>
      <c r="G253" s="32" t="s">
        <v>934</v>
      </c>
      <c r="H253" s="32" t="n">
        <v>2462506970</v>
      </c>
      <c r="I253" s="47" t="n">
        <v>6300</v>
      </c>
    </row>
    <row r="254" customFormat="false" ht="47.75" hidden="false" customHeight="false" outlineLevel="0" collapsed="false">
      <c r="A254" s="41" t="n">
        <v>44529</v>
      </c>
      <c r="B254" s="32" t="s">
        <v>935</v>
      </c>
      <c r="C254" s="32" t="s">
        <v>936</v>
      </c>
      <c r="D254" s="32" t="s">
        <v>937</v>
      </c>
      <c r="E254" s="39" t="s">
        <v>821</v>
      </c>
      <c r="F254" s="39" t="s">
        <v>822</v>
      </c>
      <c r="G254" s="32" t="s">
        <v>890</v>
      </c>
      <c r="H254" s="32" t="n">
        <v>43808856</v>
      </c>
      <c r="I254" s="47" t="n">
        <v>6496.08</v>
      </c>
    </row>
    <row r="255" customFormat="false" ht="58.95" hidden="false" customHeight="false" outlineLevel="0" collapsed="false">
      <c r="A255" s="41" t="n">
        <v>44529</v>
      </c>
      <c r="B255" s="32" t="s">
        <v>938</v>
      </c>
      <c r="C255" s="32" t="s">
        <v>939</v>
      </c>
      <c r="D255" s="32" t="s">
        <v>940</v>
      </c>
      <c r="E255" s="39" t="s">
        <v>821</v>
      </c>
      <c r="F255" s="39" t="s">
        <v>822</v>
      </c>
      <c r="G255" s="32" t="s">
        <v>941</v>
      </c>
      <c r="H255" s="32" t="n">
        <v>30093109</v>
      </c>
      <c r="I255" s="47" t="n">
        <v>16744</v>
      </c>
    </row>
    <row r="256" customFormat="false" ht="36.55" hidden="false" customHeight="false" outlineLevel="0" collapsed="false">
      <c r="A256" s="41" t="n">
        <v>44533</v>
      </c>
      <c r="B256" s="32" t="s">
        <v>942</v>
      </c>
      <c r="C256" s="32" t="s">
        <v>943</v>
      </c>
      <c r="D256" s="32" t="s">
        <v>895</v>
      </c>
      <c r="E256" s="39" t="s">
        <v>821</v>
      </c>
      <c r="F256" s="39" t="s">
        <v>822</v>
      </c>
      <c r="G256" s="32" t="s">
        <v>598</v>
      </c>
      <c r="H256" s="32" t="n">
        <v>2744304058</v>
      </c>
      <c r="I256" s="47" t="n">
        <v>2360</v>
      </c>
    </row>
    <row r="257" customFormat="false" ht="47.75" hidden="false" customHeight="false" outlineLevel="0" collapsed="false">
      <c r="A257" s="41" t="n">
        <v>44536</v>
      </c>
      <c r="B257" s="32" t="s">
        <v>944</v>
      </c>
      <c r="C257" s="32" t="s">
        <v>945</v>
      </c>
      <c r="D257" s="32" t="s">
        <v>785</v>
      </c>
      <c r="E257" s="39" t="s">
        <v>821</v>
      </c>
      <c r="F257" s="39" t="s">
        <v>822</v>
      </c>
      <c r="G257" s="32" t="s">
        <v>932</v>
      </c>
      <c r="H257" s="32" t="n">
        <v>36705378</v>
      </c>
      <c r="I257" s="47" t="n">
        <v>27560</v>
      </c>
    </row>
    <row r="258" customFormat="false" ht="47.75" hidden="false" customHeight="false" outlineLevel="0" collapsed="false">
      <c r="A258" s="41" t="n">
        <v>44537</v>
      </c>
      <c r="B258" s="32" t="s">
        <v>946</v>
      </c>
      <c r="C258" s="32" t="s">
        <v>947</v>
      </c>
      <c r="D258" s="32" t="s">
        <v>948</v>
      </c>
      <c r="E258" s="39" t="s">
        <v>821</v>
      </c>
      <c r="F258" s="39" t="s">
        <v>822</v>
      </c>
      <c r="G258" s="32" t="s">
        <v>949</v>
      </c>
      <c r="H258" s="32" t="n">
        <v>2061807745</v>
      </c>
      <c r="I258" s="47" t="n">
        <v>2517</v>
      </c>
    </row>
    <row r="259" customFormat="false" ht="25.35" hidden="false" customHeight="false" outlineLevel="0" collapsed="false">
      <c r="A259" s="41" t="n">
        <v>44537</v>
      </c>
      <c r="B259" s="32" t="s">
        <v>950</v>
      </c>
      <c r="C259" s="32" t="s">
        <v>951</v>
      </c>
      <c r="D259" s="32" t="s">
        <v>952</v>
      </c>
      <c r="E259" s="39" t="s">
        <v>821</v>
      </c>
      <c r="F259" s="39" t="s">
        <v>822</v>
      </c>
      <c r="G259" s="32" t="s">
        <v>949</v>
      </c>
      <c r="H259" s="32" t="n">
        <v>2061807745</v>
      </c>
      <c r="I259" s="47" t="n">
        <v>935</v>
      </c>
    </row>
    <row r="260" customFormat="false" ht="36.55" hidden="false" customHeight="false" outlineLevel="0" collapsed="false">
      <c r="A260" s="41" t="n">
        <v>44537</v>
      </c>
      <c r="B260" s="32" t="s">
        <v>953</v>
      </c>
      <c r="C260" s="32" t="s">
        <v>954</v>
      </c>
      <c r="D260" s="32" t="s">
        <v>955</v>
      </c>
      <c r="E260" s="39" t="s">
        <v>821</v>
      </c>
      <c r="F260" s="39" t="s">
        <v>822</v>
      </c>
      <c r="G260" s="32" t="s">
        <v>949</v>
      </c>
      <c r="H260" s="32" t="n">
        <v>2061807745</v>
      </c>
      <c r="I260" s="47" t="n">
        <v>1275</v>
      </c>
    </row>
    <row r="261" customFormat="false" ht="25.35" hidden="false" customHeight="false" outlineLevel="0" collapsed="false">
      <c r="A261" s="41" t="n">
        <v>44537</v>
      </c>
      <c r="B261" s="32" t="s">
        <v>956</v>
      </c>
      <c r="C261" s="32" t="s">
        <v>957</v>
      </c>
      <c r="D261" s="32" t="s">
        <v>958</v>
      </c>
      <c r="E261" s="39" t="s">
        <v>821</v>
      </c>
      <c r="F261" s="39" t="s">
        <v>822</v>
      </c>
      <c r="G261" s="32" t="s">
        <v>959</v>
      </c>
      <c r="H261" s="32" t="n">
        <v>2453900234</v>
      </c>
      <c r="I261" s="47" t="n">
        <v>600</v>
      </c>
    </row>
    <row r="262" customFormat="false" ht="25.35" hidden="false" customHeight="false" outlineLevel="0" collapsed="false">
      <c r="A262" s="41" t="n">
        <v>44537</v>
      </c>
      <c r="B262" s="32" t="s">
        <v>960</v>
      </c>
      <c r="C262" s="32" t="s">
        <v>961</v>
      </c>
      <c r="D262" s="32" t="s">
        <v>962</v>
      </c>
      <c r="E262" s="39" t="s">
        <v>821</v>
      </c>
      <c r="F262" s="39" t="s">
        <v>822</v>
      </c>
      <c r="G262" s="32" t="s">
        <v>959</v>
      </c>
      <c r="H262" s="32" t="n">
        <v>2453900234</v>
      </c>
      <c r="I262" s="47" t="n">
        <v>1200</v>
      </c>
    </row>
    <row r="263" customFormat="false" ht="47.75" hidden="false" customHeight="false" outlineLevel="0" collapsed="false">
      <c r="A263" s="41" t="n">
        <v>44537</v>
      </c>
      <c r="B263" s="32" t="s">
        <v>963</v>
      </c>
      <c r="C263" s="32" t="s">
        <v>964</v>
      </c>
      <c r="D263" s="32" t="s">
        <v>965</v>
      </c>
      <c r="E263" s="39" t="s">
        <v>821</v>
      </c>
      <c r="F263" s="39" t="s">
        <v>822</v>
      </c>
      <c r="G263" s="32" t="s">
        <v>959</v>
      </c>
      <c r="H263" s="32" t="n">
        <v>2453900234</v>
      </c>
      <c r="I263" s="47" t="n">
        <v>250</v>
      </c>
    </row>
    <row r="264" customFormat="false" ht="25.35" hidden="false" customHeight="false" outlineLevel="0" collapsed="false">
      <c r="A264" s="41" t="n">
        <v>44537</v>
      </c>
      <c r="B264" s="32" t="s">
        <v>966</v>
      </c>
      <c r="C264" s="32" t="s">
        <v>967</v>
      </c>
      <c r="D264" s="32" t="s">
        <v>968</v>
      </c>
      <c r="E264" s="39" t="s">
        <v>821</v>
      </c>
      <c r="F264" s="39" t="s">
        <v>822</v>
      </c>
      <c r="G264" s="32" t="s">
        <v>959</v>
      </c>
      <c r="H264" s="32" t="n">
        <v>2453900234</v>
      </c>
      <c r="I264" s="47" t="n">
        <v>123.5</v>
      </c>
    </row>
    <row r="265" customFormat="false" ht="58.95" hidden="false" customHeight="false" outlineLevel="0" collapsed="false">
      <c r="A265" s="41" t="n">
        <v>44539</v>
      </c>
      <c r="B265" s="32" t="s">
        <v>969</v>
      </c>
      <c r="C265" s="32" t="s">
        <v>748</v>
      </c>
      <c r="D265" s="32" t="s">
        <v>970</v>
      </c>
      <c r="E265" s="39" t="s">
        <v>821</v>
      </c>
      <c r="F265" s="39" t="s">
        <v>822</v>
      </c>
      <c r="G265" s="32" t="s">
        <v>971</v>
      </c>
      <c r="H265" s="32" t="n">
        <v>32950551</v>
      </c>
      <c r="I265" s="47" t="n">
        <v>27900</v>
      </c>
    </row>
    <row r="266" customFormat="false" ht="47.75" hidden="false" customHeight="false" outlineLevel="0" collapsed="false">
      <c r="A266" s="41" t="n">
        <v>44539</v>
      </c>
      <c r="B266" s="32" t="s">
        <v>972</v>
      </c>
      <c r="C266" s="32" t="s">
        <v>973</v>
      </c>
      <c r="D266" s="32" t="s">
        <v>974</v>
      </c>
      <c r="E266" s="39" t="s">
        <v>821</v>
      </c>
      <c r="F266" s="39" t="s">
        <v>822</v>
      </c>
      <c r="G266" s="32" t="s">
        <v>451</v>
      </c>
      <c r="H266" s="32" t="n">
        <v>32433715</v>
      </c>
      <c r="I266" s="47" t="n">
        <v>11823</v>
      </c>
    </row>
    <row r="267" customFormat="false" ht="126.1" hidden="false" customHeight="false" outlineLevel="0" collapsed="false">
      <c r="A267" s="41" t="n">
        <v>44540</v>
      </c>
      <c r="B267" s="32" t="s">
        <v>975</v>
      </c>
      <c r="C267" s="32" t="s">
        <v>976</v>
      </c>
      <c r="D267" s="32" t="s">
        <v>977</v>
      </c>
      <c r="E267" s="39" t="s">
        <v>821</v>
      </c>
      <c r="F267" s="39" t="s">
        <v>822</v>
      </c>
      <c r="G267" s="32" t="s">
        <v>978</v>
      </c>
      <c r="H267" s="32" t="n">
        <v>2561116422</v>
      </c>
      <c r="I267" s="47" t="n">
        <v>49898</v>
      </c>
    </row>
    <row r="268" customFormat="false" ht="103.7" hidden="false" customHeight="false" outlineLevel="0" collapsed="false">
      <c r="A268" s="41" t="n">
        <v>44552</v>
      </c>
      <c r="B268" s="32" t="s">
        <v>979</v>
      </c>
      <c r="C268" s="32" t="s">
        <v>654</v>
      </c>
      <c r="D268" s="32" t="s">
        <v>980</v>
      </c>
      <c r="E268" s="39" t="s">
        <v>821</v>
      </c>
      <c r="F268" s="39" t="s">
        <v>822</v>
      </c>
      <c r="G268" s="32" t="s">
        <v>115</v>
      </c>
      <c r="H268" s="32" t="n">
        <v>3341351</v>
      </c>
      <c r="I268" s="47" t="n">
        <v>31481.54</v>
      </c>
    </row>
    <row r="269" customFormat="false" ht="47.75" hidden="false" customHeight="false" outlineLevel="0" collapsed="false">
      <c r="A269" s="41" t="n">
        <v>44552</v>
      </c>
      <c r="B269" s="32" t="s">
        <v>981</v>
      </c>
      <c r="C269" s="32" t="s">
        <v>982</v>
      </c>
      <c r="D269" s="32" t="s">
        <v>785</v>
      </c>
      <c r="E269" s="39" t="s">
        <v>821</v>
      </c>
      <c r="F269" s="39" t="s">
        <v>822</v>
      </c>
      <c r="G269" s="32" t="s">
        <v>890</v>
      </c>
      <c r="H269" s="32" t="n">
        <v>43808856</v>
      </c>
      <c r="I269" s="47" t="n">
        <v>9994.8</v>
      </c>
    </row>
    <row r="270" customFormat="false" ht="81.3" hidden="false" customHeight="false" outlineLevel="0" collapsed="false">
      <c r="A270" s="41" t="n">
        <v>44552</v>
      </c>
      <c r="B270" s="32" t="s">
        <v>983</v>
      </c>
      <c r="C270" s="32" t="s">
        <v>984</v>
      </c>
      <c r="D270" s="32" t="s">
        <v>693</v>
      </c>
      <c r="E270" s="39" t="s">
        <v>821</v>
      </c>
      <c r="F270" s="39" t="s">
        <v>822</v>
      </c>
      <c r="G270" s="32" t="s">
        <v>890</v>
      </c>
      <c r="H270" s="32" t="n">
        <v>43808856</v>
      </c>
      <c r="I270" s="47" t="n">
        <v>8750</v>
      </c>
    </row>
    <row r="271" customFormat="false" ht="47.75" hidden="false" customHeight="false" outlineLevel="0" collapsed="false">
      <c r="A271" s="41" t="n">
        <v>44552</v>
      </c>
      <c r="B271" s="32" t="s">
        <v>985</v>
      </c>
      <c r="C271" s="32" t="s">
        <v>986</v>
      </c>
      <c r="D271" s="32" t="s">
        <v>785</v>
      </c>
      <c r="E271" s="39" t="s">
        <v>821</v>
      </c>
      <c r="F271" s="39" t="s">
        <v>822</v>
      </c>
      <c r="G271" s="32" t="s">
        <v>890</v>
      </c>
      <c r="H271" s="32" t="n">
        <v>43808856</v>
      </c>
      <c r="I271" s="47" t="n">
        <v>33004</v>
      </c>
    </row>
    <row r="272" customFormat="false" ht="92.5" hidden="false" customHeight="false" outlineLevel="0" collapsed="false">
      <c r="A272" s="41" t="n">
        <v>44558</v>
      </c>
      <c r="B272" s="32" t="s">
        <v>987</v>
      </c>
      <c r="C272" s="32" t="s">
        <v>988</v>
      </c>
      <c r="D272" s="32" t="s">
        <v>827</v>
      </c>
      <c r="E272" s="39" t="s">
        <v>821</v>
      </c>
      <c r="F272" s="39" t="s">
        <v>822</v>
      </c>
      <c r="G272" s="32" t="s">
        <v>989</v>
      </c>
      <c r="H272" s="32" t="n">
        <v>42136544</v>
      </c>
      <c r="I272" s="47" t="n">
        <v>21600</v>
      </c>
    </row>
    <row r="273" customFormat="false" ht="36.55" hidden="false" customHeight="false" outlineLevel="0" collapsed="false">
      <c r="A273" s="41" t="n">
        <v>44559</v>
      </c>
      <c r="B273" s="32" t="s">
        <v>990</v>
      </c>
      <c r="C273" s="32" t="s">
        <v>817</v>
      </c>
      <c r="D273" s="32" t="s">
        <v>818</v>
      </c>
      <c r="E273" s="39" t="s">
        <v>821</v>
      </c>
      <c r="F273" s="39" t="s">
        <v>822</v>
      </c>
      <c r="G273" s="32" t="s">
        <v>598</v>
      </c>
      <c r="H273" s="32" t="n">
        <v>2744304058</v>
      </c>
      <c r="I273" s="47" t="n">
        <v>38600.2</v>
      </c>
    </row>
    <row r="274" customFormat="false" ht="79.85" hidden="false" customHeight="false" outlineLevel="0" collapsed="false">
      <c r="A274" s="46" t="n">
        <v>44470</v>
      </c>
      <c r="B274" s="50" t="s">
        <v>991</v>
      </c>
      <c r="C274" s="50" t="s">
        <v>992</v>
      </c>
      <c r="D274" s="32" t="s">
        <v>993</v>
      </c>
      <c r="E274" s="50" t="s">
        <v>994</v>
      </c>
      <c r="F274" s="50" t="s">
        <v>995</v>
      </c>
      <c r="G274" s="32" t="s">
        <v>996</v>
      </c>
      <c r="H274" s="32" t="n">
        <v>1038699</v>
      </c>
      <c r="I274" s="47" t="n">
        <v>1200</v>
      </c>
    </row>
    <row r="275" customFormat="false" ht="57.45" hidden="false" customHeight="false" outlineLevel="0" collapsed="false">
      <c r="A275" s="46" t="n">
        <v>44475</v>
      </c>
      <c r="B275" s="50" t="s">
        <v>997</v>
      </c>
      <c r="C275" s="50" t="s">
        <v>998</v>
      </c>
      <c r="D275" s="32" t="s">
        <v>999</v>
      </c>
      <c r="E275" s="50" t="s">
        <v>994</v>
      </c>
      <c r="F275" s="50" t="s">
        <v>995</v>
      </c>
      <c r="G275" s="32" t="s">
        <v>1000</v>
      </c>
      <c r="H275" s="32" t="n">
        <v>31325146</v>
      </c>
      <c r="I275" s="47" t="n">
        <v>43875</v>
      </c>
    </row>
    <row r="276" customFormat="false" ht="57.45" hidden="false" customHeight="false" outlineLevel="0" collapsed="false">
      <c r="A276" s="46" t="n">
        <v>44475</v>
      </c>
      <c r="B276" s="50" t="s">
        <v>1001</v>
      </c>
      <c r="C276" s="50" t="s">
        <v>1002</v>
      </c>
      <c r="D276" s="32" t="s">
        <v>999</v>
      </c>
      <c r="E276" s="50" t="s">
        <v>994</v>
      </c>
      <c r="F276" s="50" t="s">
        <v>995</v>
      </c>
      <c r="G276" s="32" t="s">
        <v>1000</v>
      </c>
      <c r="H276" s="32" t="n">
        <v>31325146</v>
      </c>
      <c r="I276" s="47" t="n">
        <v>48525</v>
      </c>
    </row>
    <row r="277" customFormat="false" ht="57.45" hidden="false" customHeight="false" outlineLevel="0" collapsed="false">
      <c r="A277" s="46" t="n">
        <v>44475</v>
      </c>
      <c r="B277" s="32" t="s">
        <v>1003</v>
      </c>
      <c r="C277" s="32" t="s">
        <v>1004</v>
      </c>
      <c r="D277" s="32" t="s">
        <v>999</v>
      </c>
      <c r="E277" s="50" t="s">
        <v>994</v>
      </c>
      <c r="F277" s="50" t="s">
        <v>995</v>
      </c>
      <c r="G277" s="32" t="s">
        <v>1000</v>
      </c>
      <c r="H277" s="32" t="n">
        <v>31325146</v>
      </c>
      <c r="I277" s="47" t="n">
        <v>49500</v>
      </c>
    </row>
    <row r="278" customFormat="false" ht="57.45" hidden="false" customHeight="false" outlineLevel="0" collapsed="false">
      <c r="A278" s="46" t="n">
        <v>44475</v>
      </c>
      <c r="B278" s="32" t="s">
        <v>1005</v>
      </c>
      <c r="C278" s="32" t="s">
        <v>1006</v>
      </c>
      <c r="D278" s="32" t="s">
        <v>999</v>
      </c>
      <c r="E278" s="50" t="s">
        <v>994</v>
      </c>
      <c r="F278" s="50" t="s">
        <v>995</v>
      </c>
      <c r="G278" s="32" t="s">
        <v>1000</v>
      </c>
      <c r="H278" s="32" t="n">
        <v>31325146</v>
      </c>
      <c r="I278" s="45" t="n">
        <v>49050</v>
      </c>
    </row>
    <row r="279" customFormat="false" ht="57.45" hidden="false" customHeight="false" outlineLevel="0" collapsed="false">
      <c r="A279" s="46" t="n">
        <v>44475</v>
      </c>
      <c r="B279" s="32" t="s">
        <v>1007</v>
      </c>
      <c r="C279" s="32" t="s">
        <v>1008</v>
      </c>
      <c r="D279" s="32" t="s">
        <v>999</v>
      </c>
      <c r="E279" s="50" t="s">
        <v>994</v>
      </c>
      <c r="F279" s="50" t="s">
        <v>995</v>
      </c>
      <c r="G279" s="32" t="s">
        <v>1000</v>
      </c>
      <c r="H279" s="32" t="n">
        <v>31325146</v>
      </c>
      <c r="I279" s="45" t="n">
        <v>48450</v>
      </c>
    </row>
    <row r="280" customFormat="false" ht="12.8" hidden="false" customHeight="false" outlineLevel="0" collapsed="false">
      <c r="A280" s="41" t="n">
        <v>44487</v>
      </c>
      <c r="B280" s="32" t="s">
        <v>1009</v>
      </c>
      <c r="C280" s="32" t="s">
        <v>1010</v>
      </c>
      <c r="D280" s="32" t="s">
        <v>1011</v>
      </c>
      <c r="E280" s="50" t="s">
        <v>994</v>
      </c>
      <c r="F280" s="50" t="s">
        <v>995</v>
      </c>
      <c r="G280" s="32" t="s">
        <v>1012</v>
      </c>
      <c r="H280" s="32" t="n">
        <v>31277213</v>
      </c>
      <c r="I280" s="45" t="n">
        <v>16206.86</v>
      </c>
    </row>
    <row r="281" customFormat="false" ht="91" hidden="false" customHeight="false" outlineLevel="0" collapsed="false">
      <c r="A281" s="41" t="n">
        <v>44489</v>
      </c>
      <c r="B281" s="32" t="s">
        <v>1013</v>
      </c>
      <c r="C281" s="32" t="s">
        <v>1014</v>
      </c>
      <c r="D281" s="32" t="s">
        <v>1015</v>
      </c>
      <c r="E281" s="50" t="s">
        <v>994</v>
      </c>
      <c r="F281" s="50" t="s">
        <v>995</v>
      </c>
      <c r="G281" s="32" t="s">
        <v>1016</v>
      </c>
      <c r="H281" s="32" t="n">
        <v>24612334</v>
      </c>
      <c r="I281" s="45" t="n">
        <v>3700</v>
      </c>
    </row>
    <row r="282" customFormat="false" ht="23.85" hidden="false" customHeight="false" outlineLevel="0" collapsed="false">
      <c r="A282" s="41" t="n">
        <v>44501</v>
      </c>
      <c r="B282" s="32" t="s">
        <v>1017</v>
      </c>
      <c r="C282" s="32" t="s">
        <v>1018</v>
      </c>
      <c r="D282" s="32" t="s">
        <v>1019</v>
      </c>
      <c r="E282" s="50" t="s">
        <v>994</v>
      </c>
      <c r="F282" s="50" t="s">
        <v>995</v>
      </c>
      <c r="G282" s="32" t="s">
        <v>1020</v>
      </c>
      <c r="H282" s="32" t="n">
        <v>2795800259</v>
      </c>
      <c r="I282" s="45" t="n">
        <v>432</v>
      </c>
    </row>
    <row r="283" customFormat="false" ht="23.85" hidden="false" customHeight="false" outlineLevel="0" collapsed="false">
      <c r="A283" s="41" t="n">
        <v>44501</v>
      </c>
      <c r="B283" s="32" t="s">
        <v>1021</v>
      </c>
      <c r="C283" s="32" t="s">
        <v>1022</v>
      </c>
      <c r="D283" s="32" t="s">
        <v>1023</v>
      </c>
      <c r="E283" s="50" t="s">
        <v>994</v>
      </c>
      <c r="F283" s="50" t="s">
        <v>995</v>
      </c>
      <c r="G283" s="32" t="s">
        <v>1024</v>
      </c>
      <c r="H283" s="32" t="n">
        <v>2950016334</v>
      </c>
      <c r="I283" s="45" t="n">
        <v>8400</v>
      </c>
    </row>
    <row r="284" customFormat="false" ht="79.85" hidden="false" customHeight="false" outlineLevel="0" collapsed="false">
      <c r="A284" s="41" t="n">
        <v>44502</v>
      </c>
      <c r="B284" s="32" t="s">
        <v>1025</v>
      </c>
      <c r="C284" s="32" t="s">
        <v>1026</v>
      </c>
      <c r="D284" s="32" t="s">
        <v>993</v>
      </c>
      <c r="E284" s="50" t="s">
        <v>994</v>
      </c>
      <c r="F284" s="50" t="s">
        <v>995</v>
      </c>
      <c r="G284" s="32" t="s">
        <v>1027</v>
      </c>
      <c r="H284" s="32" t="n">
        <v>43085962</v>
      </c>
      <c r="I284" s="45" t="n">
        <v>49442.58</v>
      </c>
    </row>
    <row r="285" customFormat="false" ht="79.85" hidden="false" customHeight="false" outlineLevel="0" collapsed="false">
      <c r="A285" s="41" t="n">
        <v>44502</v>
      </c>
      <c r="B285" s="32" t="s">
        <v>1028</v>
      </c>
      <c r="C285" s="32" t="s">
        <v>1029</v>
      </c>
      <c r="D285" s="32" t="s">
        <v>993</v>
      </c>
      <c r="E285" s="50" t="s">
        <v>994</v>
      </c>
      <c r="F285" s="50" t="s">
        <v>995</v>
      </c>
      <c r="G285" s="32" t="s">
        <v>1027</v>
      </c>
      <c r="H285" s="32" t="n">
        <v>43085962</v>
      </c>
      <c r="I285" s="45" t="n">
        <v>49487.15</v>
      </c>
    </row>
    <row r="286" customFormat="false" ht="91" hidden="false" customHeight="false" outlineLevel="0" collapsed="false">
      <c r="A286" s="41" t="n">
        <v>44502</v>
      </c>
      <c r="B286" s="32" t="s">
        <v>1030</v>
      </c>
      <c r="C286" s="32" t="s">
        <v>1031</v>
      </c>
      <c r="D286" s="32" t="s">
        <v>1032</v>
      </c>
      <c r="E286" s="50" t="s">
        <v>994</v>
      </c>
      <c r="F286" s="50" t="s">
        <v>995</v>
      </c>
      <c r="G286" s="32" t="s">
        <v>1033</v>
      </c>
      <c r="H286" s="32" t="n">
        <v>43520270</v>
      </c>
      <c r="I286" s="45" t="n">
        <v>27000</v>
      </c>
    </row>
    <row r="287" customFormat="false" ht="91" hidden="false" customHeight="false" outlineLevel="0" collapsed="false">
      <c r="A287" s="41" t="n">
        <v>44502</v>
      </c>
      <c r="B287" s="32" t="s">
        <v>1034</v>
      </c>
      <c r="C287" s="32" t="s">
        <v>1035</v>
      </c>
      <c r="D287" s="32" t="s">
        <v>1032</v>
      </c>
      <c r="E287" s="50" t="s">
        <v>994</v>
      </c>
      <c r="F287" s="50" t="s">
        <v>995</v>
      </c>
      <c r="G287" s="32" t="s">
        <v>1036</v>
      </c>
      <c r="H287" s="32" t="n">
        <v>41583098</v>
      </c>
      <c r="I287" s="45" t="n">
        <v>2700</v>
      </c>
    </row>
    <row r="288" customFormat="false" ht="23.85" hidden="false" customHeight="false" outlineLevel="0" collapsed="false">
      <c r="A288" s="41" t="n">
        <v>44503</v>
      </c>
      <c r="B288" s="32" t="s">
        <v>1037</v>
      </c>
      <c r="C288" s="32" t="s">
        <v>1038</v>
      </c>
      <c r="D288" s="32" t="s">
        <v>1039</v>
      </c>
      <c r="E288" s="50" t="s">
        <v>994</v>
      </c>
      <c r="F288" s="50" t="s">
        <v>995</v>
      </c>
      <c r="G288" s="32" t="s">
        <v>1040</v>
      </c>
      <c r="H288" s="32" t="n">
        <v>32327296</v>
      </c>
      <c r="I288" s="45" t="n">
        <v>6713.66</v>
      </c>
    </row>
    <row r="289" customFormat="false" ht="102.2" hidden="false" customHeight="false" outlineLevel="0" collapsed="false">
      <c r="A289" s="41" t="n">
        <v>44509</v>
      </c>
      <c r="B289" s="32" t="s">
        <v>1041</v>
      </c>
      <c r="C289" s="32" t="s">
        <v>1042</v>
      </c>
      <c r="D289" s="32" t="s">
        <v>1043</v>
      </c>
      <c r="E289" s="50" t="s">
        <v>994</v>
      </c>
      <c r="F289" s="50" t="s">
        <v>995</v>
      </c>
      <c r="G289" s="32" t="s">
        <v>1044</v>
      </c>
      <c r="H289" s="32" t="n">
        <v>22723472</v>
      </c>
      <c r="I289" s="45" t="n">
        <v>750</v>
      </c>
    </row>
    <row r="290" customFormat="false" ht="68.65" hidden="false" customHeight="false" outlineLevel="0" collapsed="false">
      <c r="A290" s="41" t="n">
        <v>44510</v>
      </c>
      <c r="B290" s="32" t="s">
        <v>1045</v>
      </c>
      <c r="C290" s="32" t="s">
        <v>1046</v>
      </c>
      <c r="D290" s="50" t="s">
        <v>993</v>
      </c>
      <c r="E290" s="50" t="s">
        <v>994</v>
      </c>
      <c r="F290" s="50" t="s">
        <v>995</v>
      </c>
      <c r="G290" s="32" t="s">
        <v>1047</v>
      </c>
      <c r="H290" s="32" t="n">
        <v>2811604530</v>
      </c>
      <c r="I290" s="45" t="n">
        <v>2453.83</v>
      </c>
    </row>
    <row r="291" customFormat="false" ht="68.65" hidden="false" customHeight="false" outlineLevel="0" collapsed="false">
      <c r="A291" s="41" t="n">
        <v>44510</v>
      </c>
      <c r="B291" s="32" t="s">
        <v>1048</v>
      </c>
      <c r="C291" s="32" t="s">
        <v>1049</v>
      </c>
      <c r="D291" s="32" t="s">
        <v>993</v>
      </c>
      <c r="E291" s="50" t="s">
        <v>994</v>
      </c>
      <c r="F291" s="50" t="s">
        <v>995</v>
      </c>
      <c r="G291" s="32" t="s">
        <v>1047</v>
      </c>
      <c r="H291" s="32" t="n">
        <v>2811604530</v>
      </c>
      <c r="I291" s="45" t="n">
        <v>2398.2</v>
      </c>
    </row>
    <row r="292" customFormat="false" ht="57.45" hidden="false" customHeight="false" outlineLevel="0" collapsed="false">
      <c r="A292" s="41" t="n">
        <v>44525</v>
      </c>
      <c r="B292" s="32" t="s">
        <v>1050</v>
      </c>
      <c r="C292" s="32" t="s">
        <v>1051</v>
      </c>
      <c r="D292" s="32" t="s">
        <v>1015</v>
      </c>
      <c r="E292" s="50" t="s">
        <v>994</v>
      </c>
      <c r="F292" s="50" t="s">
        <v>995</v>
      </c>
      <c r="G292" s="32" t="s">
        <v>1052</v>
      </c>
      <c r="H292" s="32" t="n">
        <v>23369086</v>
      </c>
      <c r="I292" s="45" t="n">
        <v>788.4</v>
      </c>
    </row>
    <row r="293" customFormat="false" ht="79.85" hidden="false" customHeight="false" outlineLevel="0" collapsed="false">
      <c r="A293" s="41" t="n">
        <v>44529</v>
      </c>
      <c r="B293" s="32" t="s">
        <v>1053</v>
      </c>
      <c r="C293" s="32" t="s">
        <v>1054</v>
      </c>
      <c r="D293" s="32" t="s">
        <v>1055</v>
      </c>
      <c r="E293" s="50" t="s">
        <v>994</v>
      </c>
      <c r="F293" s="50" t="s">
        <v>995</v>
      </c>
      <c r="G293" s="32" t="s">
        <v>1056</v>
      </c>
      <c r="H293" s="32" t="n">
        <v>2189806230</v>
      </c>
      <c r="I293" s="45" t="n">
        <v>15100.02</v>
      </c>
    </row>
    <row r="294" customFormat="false" ht="79.85" hidden="false" customHeight="false" outlineLevel="0" collapsed="false">
      <c r="A294" s="41" t="n">
        <v>44529</v>
      </c>
      <c r="B294" s="32" t="s">
        <v>1057</v>
      </c>
      <c r="C294" s="32" t="s">
        <v>1058</v>
      </c>
      <c r="D294" s="32" t="s">
        <v>1055</v>
      </c>
      <c r="E294" s="50" t="s">
        <v>994</v>
      </c>
      <c r="F294" s="50" t="s">
        <v>995</v>
      </c>
      <c r="G294" s="32" t="s">
        <v>1056</v>
      </c>
      <c r="H294" s="32" t="n">
        <v>2189806230</v>
      </c>
      <c r="I294" s="45" t="n">
        <v>15573.9</v>
      </c>
    </row>
    <row r="295" customFormat="false" ht="79.85" hidden="false" customHeight="false" outlineLevel="0" collapsed="false">
      <c r="A295" s="41" t="n">
        <v>44529</v>
      </c>
      <c r="B295" s="32" t="s">
        <v>1059</v>
      </c>
      <c r="C295" s="32" t="s">
        <v>1060</v>
      </c>
      <c r="D295" s="32" t="s">
        <v>1055</v>
      </c>
      <c r="E295" s="50" t="s">
        <v>994</v>
      </c>
      <c r="F295" s="50" t="s">
        <v>995</v>
      </c>
      <c r="G295" s="32" t="s">
        <v>1056</v>
      </c>
      <c r="H295" s="32" t="n">
        <v>2189806230</v>
      </c>
      <c r="I295" s="45" t="n">
        <v>15032.23</v>
      </c>
    </row>
    <row r="296" customFormat="false" ht="79.85" hidden="false" customHeight="false" outlineLevel="0" collapsed="false">
      <c r="A296" s="41" t="n">
        <v>44529</v>
      </c>
      <c r="B296" s="32" t="s">
        <v>1061</v>
      </c>
      <c r="C296" s="32" t="s">
        <v>1062</v>
      </c>
      <c r="D296" s="32" t="s">
        <v>1055</v>
      </c>
      <c r="E296" s="50" t="s">
        <v>994</v>
      </c>
      <c r="F296" s="50" t="s">
        <v>995</v>
      </c>
      <c r="G296" s="32" t="s">
        <v>1056</v>
      </c>
      <c r="H296" s="32" t="n">
        <v>2189806230</v>
      </c>
      <c r="I296" s="45" t="n">
        <v>17699.49</v>
      </c>
    </row>
    <row r="297" customFormat="false" ht="79.85" hidden="false" customHeight="false" outlineLevel="0" collapsed="false">
      <c r="A297" s="41" t="n">
        <v>44529</v>
      </c>
      <c r="B297" s="32" t="s">
        <v>1063</v>
      </c>
      <c r="C297" s="32" t="s">
        <v>1064</v>
      </c>
      <c r="D297" s="32" t="s">
        <v>1055</v>
      </c>
      <c r="E297" s="50" t="s">
        <v>994</v>
      </c>
      <c r="F297" s="50" t="s">
        <v>995</v>
      </c>
      <c r="G297" s="32" t="s">
        <v>1056</v>
      </c>
      <c r="H297" s="32" t="n">
        <v>2189806230</v>
      </c>
      <c r="I297" s="45" t="n">
        <v>15204.04</v>
      </c>
    </row>
    <row r="298" customFormat="false" ht="79.85" hidden="false" customHeight="false" outlineLevel="0" collapsed="false">
      <c r="A298" s="41" t="n">
        <v>44529</v>
      </c>
      <c r="B298" s="32" t="s">
        <v>1065</v>
      </c>
      <c r="C298" s="32" t="s">
        <v>1066</v>
      </c>
      <c r="D298" s="32" t="s">
        <v>1055</v>
      </c>
      <c r="E298" s="50" t="s">
        <v>994</v>
      </c>
      <c r="F298" s="50" t="s">
        <v>995</v>
      </c>
      <c r="G298" s="32" t="s">
        <v>1056</v>
      </c>
      <c r="H298" s="32" t="n">
        <v>2189806230</v>
      </c>
      <c r="I298" s="45" t="n">
        <v>16204.75</v>
      </c>
    </row>
    <row r="299" customFormat="false" ht="79.85" hidden="false" customHeight="false" outlineLevel="0" collapsed="false">
      <c r="A299" s="41" t="n">
        <v>44529</v>
      </c>
      <c r="B299" s="32" t="s">
        <v>1067</v>
      </c>
      <c r="C299" s="32" t="s">
        <v>1068</v>
      </c>
      <c r="D299" s="32" t="s">
        <v>1055</v>
      </c>
      <c r="E299" s="50" t="s">
        <v>994</v>
      </c>
      <c r="F299" s="50" t="s">
        <v>995</v>
      </c>
      <c r="G299" s="32" t="s">
        <v>1056</v>
      </c>
      <c r="H299" s="32" t="n">
        <v>2189806230</v>
      </c>
      <c r="I299" s="45" t="n">
        <v>15473.31</v>
      </c>
    </row>
    <row r="300" customFormat="false" ht="79.85" hidden="false" customHeight="false" outlineLevel="0" collapsed="false">
      <c r="A300" s="41" t="n">
        <v>44529</v>
      </c>
      <c r="B300" s="32" t="s">
        <v>1069</v>
      </c>
      <c r="C300" s="32" t="s">
        <v>1070</v>
      </c>
      <c r="D300" s="32" t="s">
        <v>1055</v>
      </c>
      <c r="E300" s="50" t="s">
        <v>994</v>
      </c>
      <c r="F300" s="50" t="s">
        <v>995</v>
      </c>
      <c r="G300" s="32" t="s">
        <v>1056</v>
      </c>
      <c r="H300" s="32" t="n">
        <v>2189806230</v>
      </c>
      <c r="I300" s="45" t="n">
        <v>15069.72</v>
      </c>
    </row>
    <row r="301" customFormat="false" ht="79.85" hidden="false" customHeight="false" outlineLevel="0" collapsed="false">
      <c r="A301" s="41" t="n">
        <v>44529</v>
      </c>
      <c r="B301" s="32" t="s">
        <v>1071</v>
      </c>
      <c r="C301" s="32" t="s">
        <v>1072</v>
      </c>
      <c r="D301" s="32" t="s">
        <v>1055</v>
      </c>
      <c r="E301" s="50" t="s">
        <v>994</v>
      </c>
      <c r="F301" s="50" t="s">
        <v>995</v>
      </c>
      <c r="G301" s="32" t="s">
        <v>1056</v>
      </c>
      <c r="H301" s="32" t="n">
        <v>2189806230</v>
      </c>
      <c r="I301" s="45" t="n">
        <v>15540.32</v>
      </c>
    </row>
    <row r="302" customFormat="false" ht="79.85" hidden="false" customHeight="false" outlineLevel="0" collapsed="false">
      <c r="A302" s="41" t="n">
        <v>44529</v>
      </c>
      <c r="B302" s="32" t="s">
        <v>1073</v>
      </c>
      <c r="C302" s="32" t="s">
        <v>1074</v>
      </c>
      <c r="D302" s="32" t="s">
        <v>1055</v>
      </c>
      <c r="E302" s="50" t="s">
        <v>994</v>
      </c>
      <c r="F302" s="50" t="s">
        <v>995</v>
      </c>
      <c r="G302" s="32" t="s">
        <v>1056</v>
      </c>
      <c r="H302" s="32" t="n">
        <v>2189806230</v>
      </c>
      <c r="I302" s="45" t="n">
        <v>14598.81</v>
      </c>
    </row>
    <row r="303" customFormat="false" ht="79.85" hidden="false" customHeight="false" outlineLevel="0" collapsed="false">
      <c r="A303" s="41" t="n">
        <v>44529</v>
      </c>
      <c r="B303" s="32" t="s">
        <v>1075</v>
      </c>
      <c r="C303" s="32" t="s">
        <v>1076</v>
      </c>
      <c r="D303" s="32" t="s">
        <v>1055</v>
      </c>
      <c r="E303" s="50" t="s">
        <v>994</v>
      </c>
      <c r="F303" s="50" t="s">
        <v>995</v>
      </c>
      <c r="G303" s="32" t="s">
        <v>1056</v>
      </c>
      <c r="H303" s="32" t="n">
        <v>2189806230</v>
      </c>
      <c r="I303" s="45" t="n">
        <v>14598.81</v>
      </c>
    </row>
    <row r="304" customFormat="false" ht="79.85" hidden="false" customHeight="false" outlineLevel="0" collapsed="false">
      <c r="A304" s="41" t="n">
        <v>44529</v>
      </c>
      <c r="B304" s="32" t="s">
        <v>1077</v>
      </c>
      <c r="C304" s="32" t="s">
        <v>1078</v>
      </c>
      <c r="D304" s="32" t="s">
        <v>1055</v>
      </c>
      <c r="E304" s="50" t="s">
        <v>994</v>
      </c>
      <c r="F304" s="50" t="s">
        <v>995</v>
      </c>
      <c r="G304" s="32" t="s">
        <v>1056</v>
      </c>
      <c r="H304" s="32" t="n">
        <v>2189806230</v>
      </c>
      <c r="I304" s="45" t="n">
        <v>16413.42</v>
      </c>
    </row>
    <row r="305" customFormat="false" ht="79.85" hidden="false" customHeight="false" outlineLevel="0" collapsed="false">
      <c r="A305" s="41" t="n">
        <v>44529</v>
      </c>
      <c r="B305" s="32" t="s">
        <v>1079</v>
      </c>
      <c r="C305" s="32" t="s">
        <v>1080</v>
      </c>
      <c r="D305" s="32" t="s">
        <v>1055</v>
      </c>
      <c r="E305" s="50" t="s">
        <v>994</v>
      </c>
      <c r="F305" s="50" t="s">
        <v>995</v>
      </c>
      <c r="G305" s="32" t="s">
        <v>1056</v>
      </c>
      <c r="H305" s="32" t="n">
        <v>2189806230</v>
      </c>
      <c r="I305" s="45" t="n">
        <v>17414.91</v>
      </c>
    </row>
    <row r="306" customFormat="false" ht="79.85" hidden="false" customHeight="false" outlineLevel="0" collapsed="false">
      <c r="A306" s="41" t="n">
        <v>44529</v>
      </c>
      <c r="B306" s="32" t="s">
        <v>1081</v>
      </c>
      <c r="C306" s="32" t="s">
        <v>1082</v>
      </c>
      <c r="D306" s="32" t="s">
        <v>1055</v>
      </c>
      <c r="E306" s="50" t="s">
        <v>994</v>
      </c>
      <c r="F306" s="50" t="s">
        <v>995</v>
      </c>
      <c r="G306" s="32" t="s">
        <v>1056</v>
      </c>
      <c r="H306" s="32" t="n">
        <v>2189806230</v>
      </c>
      <c r="I306" s="45" t="n">
        <v>15609.36</v>
      </c>
    </row>
    <row r="307" customFormat="false" ht="79.85" hidden="false" customHeight="false" outlineLevel="0" collapsed="false">
      <c r="A307" s="41" t="n">
        <v>44529</v>
      </c>
      <c r="B307" s="32" t="s">
        <v>1083</v>
      </c>
      <c r="C307" s="32" t="s">
        <v>1084</v>
      </c>
      <c r="D307" s="32" t="s">
        <v>1055</v>
      </c>
      <c r="E307" s="50" t="s">
        <v>994</v>
      </c>
      <c r="F307" s="50" t="s">
        <v>995</v>
      </c>
      <c r="G307" s="32" t="s">
        <v>1056</v>
      </c>
      <c r="H307" s="32" t="n">
        <v>2189806230</v>
      </c>
      <c r="I307" s="45" t="n">
        <v>16793.74</v>
      </c>
    </row>
    <row r="308" customFormat="false" ht="79.85" hidden="false" customHeight="false" outlineLevel="0" collapsed="false">
      <c r="A308" s="41" t="n">
        <v>44529</v>
      </c>
      <c r="B308" s="32" t="s">
        <v>1085</v>
      </c>
      <c r="C308" s="32" t="s">
        <v>1086</v>
      </c>
      <c r="D308" s="32" t="s">
        <v>1055</v>
      </c>
      <c r="E308" s="50" t="s">
        <v>994</v>
      </c>
      <c r="F308" s="50" t="s">
        <v>995</v>
      </c>
      <c r="G308" s="32" t="s">
        <v>1056</v>
      </c>
      <c r="H308" s="32" t="n">
        <v>2189806230</v>
      </c>
      <c r="I308" s="45" t="n">
        <v>14833.09</v>
      </c>
    </row>
    <row r="309" customFormat="false" ht="79.85" hidden="false" customHeight="false" outlineLevel="0" collapsed="false">
      <c r="A309" s="41" t="n">
        <v>44529</v>
      </c>
      <c r="B309" s="32" t="s">
        <v>1087</v>
      </c>
      <c r="C309" s="32" t="s">
        <v>1088</v>
      </c>
      <c r="D309" s="32" t="s">
        <v>1055</v>
      </c>
      <c r="E309" s="50" t="s">
        <v>994</v>
      </c>
      <c r="F309" s="50" t="s">
        <v>995</v>
      </c>
      <c r="G309" s="32" t="s">
        <v>1056</v>
      </c>
      <c r="H309" s="32" t="n">
        <v>2189806230</v>
      </c>
      <c r="I309" s="45" t="n">
        <v>15260.74</v>
      </c>
    </row>
    <row r="310" customFormat="false" ht="79.85" hidden="false" customHeight="false" outlineLevel="0" collapsed="false">
      <c r="A310" s="41" t="n">
        <v>44529</v>
      </c>
      <c r="B310" s="32" t="s">
        <v>1089</v>
      </c>
      <c r="C310" s="32" t="s">
        <v>1090</v>
      </c>
      <c r="D310" s="32" t="s">
        <v>1055</v>
      </c>
      <c r="E310" s="50" t="s">
        <v>994</v>
      </c>
      <c r="F310" s="50" t="s">
        <v>995</v>
      </c>
      <c r="G310" s="32" t="s">
        <v>1056</v>
      </c>
      <c r="H310" s="32" t="n">
        <v>2189806230</v>
      </c>
      <c r="I310" s="45" t="n">
        <v>15912.99</v>
      </c>
    </row>
    <row r="311" customFormat="false" ht="124.6" hidden="false" customHeight="false" outlineLevel="0" collapsed="false">
      <c r="A311" s="41" t="n">
        <v>44531</v>
      </c>
      <c r="B311" s="32" t="s">
        <v>1091</v>
      </c>
      <c r="C311" s="32" t="s">
        <v>1092</v>
      </c>
      <c r="D311" s="32" t="s">
        <v>1093</v>
      </c>
      <c r="E311" s="50" t="s">
        <v>994</v>
      </c>
      <c r="F311" s="50" t="s">
        <v>995</v>
      </c>
      <c r="G311" s="32" t="s">
        <v>1094</v>
      </c>
      <c r="H311" s="32" t="n">
        <v>43563178</v>
      </c>
      <c r="I311" s="45" t="n">
        <v>7832</v>
      </c>
    </row>
    <row r="312" customFormat="false" ht="79.85" hidden="false" customHeight="false" outlineLevel="0" collapsed="false">
      <c r="A312" s="41" t="n">
        <v>44532</v>
      </c>
      <c r="B312" s="32" t="s">
        <v>1095</v>
      </c>
      <c r="C312" s="32" t="s">
        <v>1096</v>
      </c>
      <c r="D312" s="32" t="s">
        <v>1093</v>
      </c>
      <c r="E312" s="50" t="s">
        <v>994</v>
      </c>
      <c r="F312" s="50" t="s">
        <v>995</v>
      </c>
      <c r="G312" s="32" t="s">
        <v>1097</v>
      </c>
      <c r="H312" s="32" t="n">
        <v>21877948</v>
      </c>
      <c r="I312" s="45" t="n">
        <v>32190.61</v>
      </c>
    </row>
    <row r="313" customFormat="false" ht="79.85" hidden="false" customHeight="false" outlineLevel="0" collapsed="false">
      <c r="A313" s="41" t="n">
        <v>44532</v>
      </c>
      <c r="B313" s="32" t="s">
        <v>1098</v>
      </c>
      <c r="C313" s="32" t="s">
        <v>1099</v>
      </c>
      <c r="D313" s="32" t="s">
        <v>1093</v>
      </c>
      <c r="E313" s="50" t="s">
        <v>994</v>
      </c>
      <c r="F313" s="50" t="s">
        <v>995</v>
      </c>
      <c r="G313" s="32" t="s">
        <v>1097</v>
      </c>
      <c r="H313" s="32" t="n">
        <v>21877948</v>
      </c>
      <c r="I313" s="45" t="n">
        <v>35138.93</v>
      </c>
    </row>
    <row r="314" customFormat="false" ht="79.85" hidden="false" customHeight="false" outlineLevel="0" collapsed="false">
      <c r="A314" s="41" t="n">
        <v>44532</v>
      </c>
      <c r="B314" s="32" t="s">
        <v>1100</v>
      </c>
      <c r="C314" s="32" t="s">
        <v>1101</v>
      </c>
      <c r="D314" s="32" t="s">
        <v>1093</v>
      </c>
      <c r="E314" s="50" t="s">
        <v>994</v>
      </c>
      <c r="F314" s="50" t="s">
        <v>995</v>
      </c>
      <c r="G314" s="32" t="s">
        <v>1097</v>
      </c>
      <c r="H314" s="32" t="n">
        <v>21877948</v>
      </c>
      <c r="I314" s="45" t="n">
        <v>29820.8</v>
      </c>
    </row>
    <row r="315" customFormat="false" ht="79.85" hidden="false" customHeight="false" outlineLevel="0" collapsed="false">
      <c r="A315" s="41" t="n">
        <v>44532</v>
      </c>
      <c r="B315" s="32" t="s">
        <v>1102</v>
      </c>
      <c r="C315" s="32" t="s">
        <v>1103</v>
      </c>
      <c r="D315" s="32" t="s">
        <v>1093</v>
      </c>
      <c r="E315" s="50" t="s">
        <v>994</v>
      </c>
      <c r="F315" s="50" t="s">
        <v>995</v>
      </c>
      <c r="G315" s="32" t="s">
        <v>1097</v>
      </c>
      <c r="H315" s="32" t="n">
        <v>21877948</v>
      </c>
      <c r="I315" s="45" t="n">
        <v>20133.5</v>
      </c>
    </row>
    <row r="316" customFormat="false" ht="79.85" hidden="false" customHeight="false" outlineLevel="0" collapsed="false">
      <c r="A316" s="41" t="n">
        <v>44532</v>
      </c>
      <c r="B316" s="32" t="s">
        <v>1104</v>
      </c>
      <c r="C316" s="32" t="s">
        <v>1105</v>
      </c>
      <c r="D316" s="32" t="s">
        <v>1093</v>
      </c>
      <c r="E316" s="50" t="s">
        <v>994</v>
      </c>
      <c r="F316" s="50" t="s">
        <v>995</v>
      </c>
      <c r="G316" s="32" t="s">
        <v>1097</v>
      </c>
      <c r="H316" s="32" t="n">
        <v>21877948</v>
      </c>
      <c r="I316" s="45" t="n">
        <v>21269.84</v>
      </c>
    </row>
    <row r="317" customFormat="false" ht="79.85" hidden="false" customHeight="false" outlineLevel="0" collapsed="false">
      <c r="A317" s="41" t="n">
        <v>44532</v>
      </c>
      <c r="B317" s="32" t="s">
        <v>1106</v>
      </c>
      <c r="C317" s="32" t="s">
        <v>1107</v>
      </c>
      <c r="D317" s="32" t="s">
        <v>1093</v>
      </c>
      <c r="E317" s="50" t="s">
        <v>994</v>
      </c>
      <c r="F317" s="50" t="s">
        <v>995</v>
      </c>
      <c r="G317" s="32" t="s">
        <v>1097</v>
      </c>
      <c r="H317" s="32" t="n">
        <v>21877948</v>
      </c>
      <c r="I317" s="45" t="n">
        <v>18988.96</v>
      </c>
    </row>
    <row r="318" customFormat="false" ht="91" hidden="false" customHeight="false" outlineLevel="0" collapsed="false">
      <c r="A318" s="41" t="n">
        <v>44538</v>
      </c>
      <c r="B318" s="32" t="s">
        <v>1108</v>
      </c>
      <c r="C318" s="32" t="s">
        <v>1109</v>
      </c>
      <c r="D318" s="32" t="s">
        <v>1093</v>
      </c>
      <c r="E318" s="50" t="s">
        <v>994</v>
      </c>
      <c r="F318" s="50" t="s">
        <v>995</v>
      </c>
      <c r="G318" s="32" t="s">
        <v>1110</v>
      </c>
      <c r="H318" s="32" t="n">
        <v>3260709704</v>
      </c>
      <c r="I318" s="45" t="n">
        <v>15000</v>
      </c>
    </row>
    <row r="319" customFormat="false" ht="23.85" hidden="false" customHeight="false" outlineLevel="0" collapsed="false">
      <c r="A319" s="41" t="n">
        <v>44539</v>
      </c>
      <c r="B319" s="32" t="s">
        <v>1111</v>
      </c>
      <c r="C319" s="32" t="s">
        <v>1022</v>
      </c>
      <c r="D319" s="32" t="s">
        <v>1023</v>
      </c>
      <c r="E319" s="50" t="s">
        <v>994</v>
      </c>
      <c r="F319" s="50" t="s">
        <v>995</v>
      </c>
      <c r="G319" s="32" t="s">
        <v>1024</v>
      </c>
      <c r="H319" s="32" t="n">
        <v>2950016334</v>
      </c>
      <c r="I319" s="45" t="n">
        <v>7000</v>
      </c>
    </row>
    <row r="320" customFormat="false" ht="12.8" hidden="false" customHeight="false" outlineLevel="0" collapsed="false">
      <c r="A320" s="41" t="n">
        <v>44540</v>
      </c>
      <c r="B320" s="32" t="s">
        <v>1112</v>
      </c>
      <c r="C320" s="32" t="s">
        <v>1113</v>
      </c>
      <c r="D320" s="32" t="s">
        <v>1114</v>
      </c>
      <c r="E320" s="50" t="s">
        <v>994</v>
      </c>
      <c r="F320" s="50" t="s">
        <v>995</v>
      </c>
      <c r="G320" s="32" t="s">
        <v>1115</v>
      </c>
      <c r="H320" s="32" t="n">
        <v>2921305486</v>
      </c>
      <c r="I320" s="45" t="n">
        <v>2911</v>
      </c>
    </row>
    <row r="321" customFormat="false" ht="23.85" hidden="false" customHeight="false" outlineLevel="0" collapsed="false">
      <c r="A321" s="41" t="n">
        <v>44543</v>
      </c>
      <c r="B321" s="32" t="s">
        <v>1116</v>
      </c>
      <c r="C321" s="32" t="s">
        <v>1022</v>
      </c>
      <c r="D321" s="32" t="s">
        <v>1023</v>
      </c>
      <c r="E321" s="50" t="s">
        <v>994</v>
      </c>
      <c r="F321" s="50" t="s">
        <v>995</v>
      </c>
      <c r="G321" s="32" t="s">
        <v>1024</v>
      </c>
      <c r="H321" s="32" t="n">
        <v>2950016334</v>
      </c>
      <c r="I321" s="45" t="n">
        <v>3000</v>
      </c>
    </row>
    <row r="322" customFormat="false" ht="35.05" hidden="false" customHeight="false" outlineLevel="0" collapsed="false">
      <c r="A322" s="41" t="n">
        <v>44544</v>
      </c>
      <c r="B322" s="32" t="s">
        <v>1117</v>
      </c>
      <c r="C322" s="32" t="s">
        <v>1118</v>
      </c>
      <c r="D322" s="32" t="s">
        <v>1119</v>
      </c>
      <c r="E322" s="50" t="s">
        <v>994</v>
      </c>
      <c r="F322" s="50" t="s">
        <v>995</v>
      </c>
      <c r="G322" s="32" t="s">
        <v>1120</v>
      </c>
      <c r="H322" s="32" t="n">
        <v>36865753</v>
      </c>
      <c r="I322" s="45" t="n">
        <v>331</v>
      </c>
    </row>
    <row r="323" customFormat="false" ht="91" hidden="false" customHeight="false" outlineLevel="0" collapsed="false">
      <c r="A323" s="38" t="n">
        <v>44473</v>
      </c>
      <c r="B323" s="39" t="s">
        <v>1121</v>
      </c>
      <c r="C323" s="39" t="s">
        <v>1122</v>
      </c>
      <c r="D323" s="39" t="s">
        <v>1123</v>
      </c>
      <c r="E323" s="39" t="s">
        <v>1124</v>
      </c>
      <c r="F323" s="39" t="s">
        <v>1125</v>
      </c>
      <c r="G323" s="39" t="s">
        <v>1126</v>
      </c>
      <c r="H323" s="39" t="s">
        <v>1127</v>
      </c>
      <c r="I323" s="40" t="s">
        <v>1128</v>
      </c>
    </row>
    <row r="324" customFormat="false" ht="91" hidden="false" customHeight="false" outlineLevel="0" collapsed="false">
      <c r="A324" s="38" t="n">
        <v>44473</v>
      </c>
      <c r="B324" s="39" t="s">
        <v>1129</v>
      </c>
      <c r="C324" s="39" t="s">
        <v>1130</v>
      </c>
      <c r="D324" s="39" t="s">
        <v>1131</v>
      </c>
      <c r="E324" s="39" t="s">
        <v>1124</v>
      </c>
      <c r="F324" s="39" t="s">
        <v>1125</v>
      </c>
      <c r="G324" s="39" t="s">
        <v>1132</v>
      </c>
      <c r="H324" s="39" t="s">
        <v>1133</v>
      </c>
      <c r="I324" s="40" t="s">
        <v>1134</v>
      </c>
    </row>
    <row r="325" customFormat="false" ht="91" hidden="false" customHeight="false" outlineLevel="0" collapsed="false">
      <c r="A325" s="38" t="n">
        <v>44473</v>
      </c>
      <c r="B325" s="39" t="s">
        <v>1135</v>
      </c>
      <c r="C325" s="39" t="s">
        <v>1136</v>
      </c>
      <c r="D325" s="39" t="s">
        <v>1137</v>
      </c>
      <c r="E325" s="39" t="s">
        <v>1124</v>
      </c>
      <c r="F325" s="39" t="s">
        <v>1125</v>
      </c>
      <c r="G325" s="39" t="s">
        <v>1132</v>
      </c>
      <c r="H325" s="39" t="s">
        <v>1133</v>
      </c>
      <c r="I325" s="40" t="s">
        <v>1138</v>
      </c>
    </row>
    <row r="326" customFormat="false" ht="91" hidden="false" customHeight="false" outlineLevel="0" collapsed="false">
      <c r="A326" s="38" t="n">
        <v>44473</v>
      </c>
      <c r="B326" s="39" t="s">
        <v>1139</v>
      </c>
      <c r="C326" s="39" t="s">
        <v>1140</v>
      </c>
      <c r="D326" s="39" t="s">
        <v>1141</v>
      </c>
      <c r="E326" s="39" t="s">
        <v>1124</v>
      </c>
      <c r="F326" s="39" t="s">
        <v>1125</v>
      </c>
      <c r="G326" s="39" t="s">
        <v>1142</v>
      </c>
      <c r="H326" s="39" t="s">
        <v>1143</v>
      </c>
      <c r="I326" s="40" t="s">
        <v>1144</v>
      </c>
    </row>
    <row r="327" customFormat="false" ht="91" hidden="false" customHeight="false" outlineLevel="0" collapsed="false">
      <c r="A327" s="38" t="n">
        <v>44473</v>
      </c>
      <c r="B327" s="39" t="s">
        <v>1145</v>
      </c>
      <c r="C327" s="39" t="s">
        <v>1146</v>
      </c>
      <c r="D327" s="39" t="s">
        <v>1147</v>
      </c>
      <c r="E327" s="39" t="s">
        <v>1124</v>
      </c>
      <c r="F327" s="39" t="s">
        <v>1125</v>
      </c>
      <c r="G327" s="39" t="s">
        <v>1142</v>
      </c>
      <c r="H327" s="39" t="s">
        <v>1143</v>
      </c>
      <c r="I327" s="40" t="s">
        <v>1148</v>
      </c>
    </row>
    <row r="328" customFormat="false" ht="91" hidden="false" customHeight="false" outlineLevel="0" collapsed="false">
      <c r="A328" s="38" t="n">
        <v>44473</v>
      </c>
      <c r="B328" s="39" t="s">
        <v>1149</v>
      </c>
      <c r="C328" s="39" t="s">
        <v>1150</v>
      </c>
      <c r="D328" s="39" t="s">
        <v>1151</v>
      </c>
      <c r="E328" s="39" t="s">
        <v>1124</v>
      </c>
      <c r="F328" s="39" t="s">
        <v>1125</v>
      </c>
      <c r="G328" s="39" t="s">
        <v>1142</v>
      </c>
      <c r="H328" s="39" t="s">
        <v>1143</v>
      </c>
      <c r="I328" s="40" t="s">
        <v>1152</v>
      </c>
    </row>
    <row r="329" customFormat="false" ht="91" hidden="false" customHeight="false" outlineLevel="0" collapsed="false">
      <c r="A329" s="38" t="n">
        <v>44473</v>
      </c>
      <c r="B329" s="39" t="s">
        <v>1153</v>
      </c>
      <c r="C329" s="39" t="s">
        <v>1154</v>
      </c>
      <c r="D329" s="39" t="s">
        <v>1155</v>
      </c>
      <c r="E329" s="39" t="s">
        <v>1124</v>
      </c>
      <c r="F329" s="39" t="s">
        <v>1125</v>
      </c>
      <c r="G329" s="39" t="s">
        <v>1142</v>
      </c>
      <c r="H329" s="39" t="s">
        <v>1143</v>
      </c>
      <c r="I329" s="40" t="s">
        <v>1156</v>
      </c>
    </row>
    <row r="330" customFormat="false" ht="91" hidden="false" customHeight="false" outlineLevel="0" collapsed="false">
      <c r="A330" s="38" t="n">
        <v>44473</v>
      </c>
      <c r="B330" s="39" t="s">
        <v>1157</v>
      </c>
      <c r="C330" s="39" t="s">
        <v>1158</v>
      </c>
      <c r="D330" s="39" t="s">
        <v>1159</v>
      </c>
      <c r="E330" s="39" t="s">
        <v>1124</v>
      </c>
      <c r="F330" s="39" t="s">
        <v>1125</v>
      </c>
      <c r="G330" s="39" t="s">
        <v>1142</v>
      </c>
      <c r="H330" s="39" t="s">
        <v>1143</v>
      </c>
      <c r="I330" s="40" t="s">
        <v>1160</v>
      </c>
    </row>
    <row r="331" customFormat="false" ht="91" hidden="false" customHeight="false" outlineLevel="0" collapsed="false">
      <c r="A331" s="38" t="n">
        <v>44475</v>
      </c>
      <c r="B331" s="39" t="s">
        <v>1161</v>
      </c>
      <c r="C331" s="39" t="s">
        <v>1162</v>
      </c>
      <c r="D331" s="39" t="s">
        <v>1163</v>
      </c>
      <c r="E331" s="39" t="s">
        <v>1124</v>
      </c>
      <c r="F331" s="39" t="s">
        <v>1125</v>
      </c>
      <c r="G331" s="39" t="s">
        <v>1164</v>
      </c>
      <c r="H331" s="39" t="s">
        <v>1165</v>
      </c>
      <c r="I331" s="40" t="s">
        <v>1166</v>
      </c>
    </row>
    <row r="332" customFormat="false" ht="91" hidden="false" customHeight="false" outlineLevel="0" collapsed="false">
      <c r="A332" s="38" t="n">
        <v>44476</v>
      </c>
      <c r="B332" s="39" t="s">
        <v>1167</v>
      </c>
      <c r="C332" s="39" t="s">
        <v>1168</v>
      </c>
      <c r="D332" s="39" t="s">
        <v>1169</v>
      </c>
      <c r="E332" s="39" t="s">
        <v>1124</v>
      </c>
      <c r="F332" s="39" t="s">
        <v>1125</v>
      </c>
      <c r="G332" s="39" t="s">
        <v>1170</v>
      </c>
      <c r="H332" s="39" t="s">
        <v>1169</v>
      </c>
      <c r="I332" s="40" t="s">
        <v>1171</v>
      </c>
    </row>
    <row r="333" customFormat="false" ht="91" hidden="false" customHeight="false" outlineLevel="0" collapsed="false">
      <c r="A333" s="38" t="n">
        <v>44477</v>
      </c>
      <c r="B333" s="39" t="s">
        <v>1172</v>
      </c>
      <c r="C333" s="39" t="s">
        <v>1173</v>
      </c>
      <c r="D333" s="39" t="s">
        <v>1174</v>
      </c>
      <c r="E333" s="39" t="s">
        <v>1124</v>
      </c>
      <c r="F333" s="39" t="s">
        <v>1125</v>
      </c>
      <c r="G333" s="39" t="s">
        <v>1175</v>
      </c>
      <c r="H333" s="39" t="s">
        <v>1176</v>
      </c>
      <c r="I333" s="40" t="s">
        <v>1177</v>
      </c>
    </row>
    <row r="334" customFormat="false" ht="91" hidden="false" customHeight="false" outlineLevel="0" collapsed="false">
      <c r="A334" s="38" t="n">
        <v>44482</v>
      </c>
      <c r="B334" s="39" t="s">
        <v>1178</v>
      </c>
      <c r="C334" s="39" t="s">
        <v>1179</v>
      </c>
      <c r="D334" s="39" t="s">
        <v>1019</v>
      </c>
      <c r="E334" s="39" t="s">
        <v>1124</v>
      </c>
      <c r="F334" s="39" t="s">
        <v>1125</v>
      </c>
      <c r="G334" s="39" t="s">
        <v>1180</v>
      </c>
      <c r="H334" s="39" t="s">
        <v>164</v>
      </c>
      <c r="I334" s="40" t="s">
        <v>1181</v>
      </c>
    </row>
    <row r="335" customFormat="false" ht="91" hidden="false" customHeight="false" outlineLevel="0" collapsed="false">
      <c r="A335" s="38" t="n">
        <v>44509</v>
      </c>
      <c r="B335" s="39" t="s">
        <v>1182</v>
      </c>
      <c r="C335" s="39" t="s">
        <v>1183</v>
      </c>
      <c r="D335" s="39" t="s">
        <v>1184</v>
      </c>
      <c r="E335" s="39" t="s">
        <v>1124</v>
      </c>
      <c r="F335" s="39" t="s">
        <v>1125</v>
      </c>
      <c r="G335" s="39" t="s">
        <v>1185</v>
      </c>
      <c r="H335" s="39" t="s">
        <v>1186</v>
      </c>
      <c r="I335" s="40" t="s">
        <v>1187</v>
      </c>
    </row>
    <row r="336" customFormat="false" ht="91" hidden="false" customHeight="false" outlineLevel="0" collapsed="false">
      <c r="A336" s="38" t="n">
        <v>44517</v>
      </c>
      <c r="B336" s="39" t="s">
        <v>1188</v>
      </c>
      <c r="C336" s="39" t="s">
        <v>1189</v>
      </c>
      <c r="D336" s="39" t="s">
        <v>1019</v>
      </c>
      <c r="E336" s="39" t="s">
        <v>1124</v>
      </c>
      <c r="F336" s="39" t="s">
        <v>1125</v>
      </c>
      <c r="G336" s="39" t="s">
        <v>1190</v>
      </c>
      <c r="H336" s="39" t="s">
        <v>611</v>
      </c>
      <c r="I336" s="40" t="s">
        <v>1191</v>
      </c>
    </row>
    <row r="337" customFormat="false" ht="91" hidden="false" customHeight="false" outlineLevel="0" collapsed="false">
      <c r="A337" s="38" t="n">
        <v>44518</v>
      </c>
      <c r="B337" s="39" t="s">
        <v>1192</v>
      </c>
      <c r="C337" s="39" t="s">
        <v>1193</v>
      </c>
      <c r="D337" s="39" t="s">
        <v>1019</v>
      </c>
      <c r="E337" s="39" t="s">
        <v>1124</v>
      </c>
      <c r="F337" s="39" t="s">
        <v>1125</v>
      </c>
      <c r="G337" s="39" t="s">
        <v>1190</v>
      </c>
      <c r="H337" s="39" t="s">
        <v>611</v>
      </c>
      <c r="I337" s="40" t="s">
        <v>1194</v>
      </c>
    </row>
    <row r="338" customFormat="false" ht="91" hidden="false" customHeight="false" outlineLevel="0" collapsed="false">
      <c r="A338" s="38" t="n">
        <v>44519</v>
      </c>
      <c r="B338" s="39" t="s">
        <v>1195</v>
      </c>
      <c r="C338" s="39" t="s">
        <v>1196</v>
      </c>
      <c r="D338" s="39" t="s">
        <v>1019</v>
      </c>
      <c r="E338" s="39" t="s">
        <v>1124</v>
      </c>
      <c r="F338" s="39" t="s">
        <v>1125</v>
      </c>
      <c r="G338" s="39" t="s">
        <v>1197</v>
      </c>
      <c r="H338" s="39" t="s">
        <v>164</v>
      </c>
      <c r="I338" s="40" t="s">
        <v>1198</v>
      </c>
    </row>
    <row r="339" customFormat="false" ht="91" hidden="false" customHeight="false" outlineLevel="0" collapsed="false">
      <c r="A339" s="38" t="n">
        <v>44517</v>
      </c>
      <c r="B339" s="39" t="s">
        <v>1199</v>
      </c>
      <c r="C339" s="39" t="s">
        <v>1200</v>
      </c>
      <c r="D339" s="39" t="s">
        <v>1201</v>
      </c>
      <c r="E339" s="39" t="s">
        <v>1124</v>
      </c>
      <c r="F339" s="39" t="s">
        <v>1125</v>
      </c>
      <c r="G339" s="39" t="s">
        <v>1202</v>
      </c>
      <c r="H339" s="39" t="s">
        <v>1203</v>
      </c>
      <c r="I339" s="40" t="s">
        <v>1204</v>
      </c>
    </row>
    <row r="340" customFormat="false" ht="91" hidden="false" customHeight="false" outlineLevel="0" collapsed="false">
      <c r="A340" s="38" t="n">
        <v>44524</v>
      </c>
      <c r="B340" s="39" t="s">
        <v>1205</v>
      </c>
      <c r="C340" s="39" t="s">
        <v>1206</v>
      </c>
      <c r="D340" s="39" t="s">
        <v>1207</v>
      </c>
      <c r="E340" s="39" t="s">
        <v>1124</v>
      </c>
      <c r="F340" s="39" t="s">
        <v>1125</v>
      </c>
      <c r="G340" s="39" t="s">
        <v>1208</v>
      </c>
      <c r="H340" s="39" t="s">
        <v>488</v>
      </c>
      <c r="I340" s="40" t="s">
        <v>1209</v>
      </c>
    </row>
    <row r="341" customFormat="false" ht="91" hidden="false" customHeight="false" outlineLevel="0" collapsed="false">
      <c r="A341" s="38" t="n">
        <v>44524</v>
      </c>
      <c r="B341" s="39" t="s">
        <v>1210</v>
      </c>
      <c r="C341" s="39" t="s">
        <v>1211</v>
      </c>
      <c r="D341" s="39" t="s">
        <v>1023</v>
      </c>
      <c r="E341" s="39" t="s">
        <v>1124</v>
      </c>
      <c r="F341" s="39" t="s">
        <v>1125</v>
      </c>
      <c r="G341" s="39" t="s">
        <v>1212</v>
      </c>
      <c r="H341" s="39" t="s">
        <v>1127</v>
      </c>
      <c r="I341" s="40" t="s">
        <v>1213</v>
      </c>
    </row>
    <row r="342" customFormat="false" ht="91" hidden="false" customHeight="false" outlineLevel="0" collapsed="false">
      <c r="A342" s="38" t="n">
        <v>44532</v>
      </c>
      <c r="B342" s="39" t="s">
        <v>1214</v>
      </c>
      <c r="C342" s="39" t="s">
        <v>1215</v>
      </c>
      <c r="D342" s="39" t="s">
        <v>1023</v>
      </c>
      <c r="E342" s="39" t="s">
        <v>1124</v>
      </c>
      <c r="F342" s="39" t="s">
        <v>1125</v>
      </c>
      <c r="G342" s="39" t="s">
        <v>1024</v>
      </c>
      <c r="H342" s="39" t="s">
        <v>1127</v>
      </c>
      <c r="I342" s="40" t="s">
        <v>1216</v>
      </c>
    </row>
    <row r="343" customFormat="false" ht="91" hidden="false" customHeight="false" outlineLevel="0" collapsed="false">
      <c r="A343" s="38" t="n">
        <v>44532</v>
      </c>
      <c r="B343" s="39" t="s">
        <v>1217</v>
      </c>
      <c r="C343" s="39" t="s">
        <v>1218</v>
      </c>
      <c r="D343" s="39" t="s">
        <v>1219</v>
      </c>
      <c r="E343" s="39" t="s">
        <v>1124</v>
      </c>
      <c r="F343" s="39" t="s">
        <v>1125</v>
      </c>
      <c r="G343" s="39" t="s">
        <v>1220</v>
      </c>
      <c r="H343" s="39" t="s">
        <v>287</v>
      </c>
      <c r="I343" s="40" t="s">
        <v>1221</v>
      </c>
    </row>
    <row r="344" customFormat="false" ht="91" hidden="false" customHeight="false" outlineLevel="0" collapsed="false">
      <c r="A344" s="38" t="n">
        <v>44533</v>
      </c>
      <c r="B344" s="39" t="s">
        <v>1222</v>
      </c>
      <c r="C344" s="39" t="s">
        <v>1223</v>
      </c>
      <c r="D344" s="39" t="s">
        <v>1224</v>
      </c>
      <c r="E344" s="39" t="s">
        <v>1124</v>
      </c>
      <c r="F344" s="39" t="s">
        <v>1125</v>
      </c>
      <c r="G344" s="39" t="s">
        <v>1225</v>
      </c>
      <c r="H344" s="39" t="s">
        <v>1226</v>
      </c>
      <c r="I344" s="40" t="s">
        <v>1227</v>
      </c>
    </row>
    <row r="345" customFormat="false" ht="91" hidden="false" customHeight="false" outlineLevel="0" collapsed="false">
      <c r="A345" s="38" t="n">
        <v>44533</v>
      </c>
      <c r="B345" s="39" t="s">
        <v>1228</v>
      </c>
      <c r="C345" s="39" t="s">
        <v>1229</v>
      </c>
      <c r="D345" s="39" t="s">
        <v>1230</v>
      </c>
      <c r="E345" s="39" t="s">
        <v>1124</v>
      </c>
      <c r="F345" s="39" t="s">
        <v>1125</v>
      </c>
      <c r="G345" s="39" t="s">
        <v>1231</v>
      </c>
      <c r="H345" s="39" t="s">
        <v>52</v>
      </c>
      <c r="I345" s="40" t="s">
        <v>1232</v>
      </c>
    </row>
    <row r="346" customFormat="false" ht="91" hidden="false" customHeight="false" outlineLevel="0" collapsed="false">
      <c r="A346" s="38" t="n">
        <v>44539</v>
      </c>
      <c r="B346" s="39" t="s">
        <v>1233</v>
      </c>
      <c r="C346" s="39" t="s">
        <v>1234</v>
      </c>
      <c r="D346" s="39" t="s">
        <v>1019</v>
      </c>
      <c r="E346" s="39" t="s">
        <v>1124</v>
      </c>
      <c r="F346" s="39" t="s">
        <v>1125</v>
      </c>
      <c r="G346" s="39" t="s">
        <v>1235</v>
      </c>
      <c r="H346" s="39" t="s">
        <v>1236</v>
      </c>
      <c r="I346" s="40" t="s">
        <v>1237</v>
      </c>
    </row>
    <row r="347" customFormat="false" ht="91" hidden="false" customHeight="false" outlineLevel="0" collapsed="false">
      <c r="A347" s="38" t="n">
        <v>44539</v>
      </c>
      <c r="B347" s="39" t="s">
        <v>1238</v>
      </c>
      <c r="C347" s="39" t="s">
        <v>1239</v>
      </c>
      <c r="D347" s="39" t="s">
        <v>1019</v>
      </c>
      <c r="E347" s="39" t="s">
        <v>1124</v>
      </c>
      <c r="F347" s="39" t="s">
        <v>1125</v>
      </c>
      <c r="G347" s="39" t="s">
        <v>1235</v>
      </c>
      <c r="H347" s="39" t="s">
        <v>1236</v>
      </c>
      <c r="I347" s="40" t="s">
        <v>1240</v>
      </c>
    </row>
    <row r="348" customFormat="false" ht="91" hidden="false" customHeight="false" outlineLevel="0" collapsed="false">
      <c r="A348" s="38" t="n">
        <v>44543</v>
      </c>
      <c r="B348" s="39" t="s">
        <v>1241</v>
      </c>
      <c r="C348" s="39" t="s">
        <v>1242</v>
      </c>
      <c r="D348" s="39" t="s">
        <v>1023</v>
      </c>
      <c r="E348" s="39" t="s">
        <v>1124</v>
      </c>
      <c r="F348" s="39" t="s">
        <v>1125</v>
      </c>
      <c r="G348" s="39" t="s">
        <v>1212</v>
      </c>
      <c r="H348" s="39" t="s">
        <v>1127</v>
      </c>
      <c r="I348" s="40" t="s">
        <v>1243</v>
      </c>
    </row>
    <row r="349" customFormat="false" ht="35.05" hidden="false" customHeight="false" outlineLevel="0" collapsed="false">
      <c r="A349" s="46" t="n">
        <v>44492</v>
      </c>
      <c r="B349" s="32" t="str">
        <f aca="false">HYPERLINK("https://my.zakupki.prom.ua/remote/dispatcher/state_purchase_view/31050878", "UA-2021-10-23-006937-b")</f>
        <v>UA-2021-10-23-006937-b</v>
      </c>
      <c r="C349" s="32" t="s">
        <v>588</v>
      </c>
      <c r="D349" s="32" t="s">
        <v>1244</v>
      </c>
      <c r="E349" s="50" t="s">
        <v>1245</v>
      </c>
      <c r="F349" s="50" t="s">
        <v>1246</v>
      </c>
      <c r="G349" s="32" t="s">
        <v>1247</v>
      </c>
      <c r="H349" s="32" t="s">
        <v>1248</v>
      </c>
      <c r="I349" s="47" t="n">
        <v>670</v>
      </c>
    </row>
    <row r="350" customFormat="false" ht="23.85" hidden="false" customHeight="false" outlineLevel="0" collapsed="false">
      <c r="A350" s="46" t="n">
        <v>44544</v>
      </c>
      <c r="B350" s="32" t="str">
        <f aca="false">HYPERLINK("https://my.zakupki.prom.ua/remote/dispatcher/state_purchase_view/33037188", "UA-2021-12-14-002733-c")</f>
        <v>UA-2021-12-14-002733-c</v>
      </c>
      <c r="C350" s="32" t="s">
        <v>588</v>
      </c>
      <c r="D350" s="32" t="s">
        <v>1249</v>
      </c>
      <c r="E350" s="50" t="s">
        <v>1245</v>
      </c>
      <c r="F350" s="50" t="s">
        <v>1246</v>
      </c>
      <c r="G350" s="32" t="s">
        <v>1250</v>
      </c>
      <c r="H350" s="32" t="s">
        <v>349</v>
      </c>
      <c r="I350" s="47" t="n">
        <v>724</v>
      </c>
    </row>
    <row r="351" customFormat="false" ht="57.45" hidden="false" customHeight="false" outlineLevel="0" collapsed="false">
      <c r="A351" s="46" t="n">
        <v>44494</v>
      </c>
      <c r="B351" s="32" t="str">
        <f aca="false">HYPERLINK("https://my.zakupki.prom.ua/remote/dispatcher/state_purchase_view/31079940", "UA-2021-10-25-009140-b")</f>
        <v>UA-2021-10-25-009140-b</v>
      </c>
      <c r="C351" s="32" t="s">
        <v>588</v>
      </c>
      <c r="D351" s="32" t="s">
        <v>193</v>
      </c>
      <c r="E351" s="50" t="s">
        <v>1245</v>
      </c>
      <c r="F351" s="50" t="s">
        <v>1246</v>
      </c>
      <c r="G351" s="32" t="s">
        <v>1250</v>
      </c>
      <c r="H351" s="32" t="s">
        <v>349</v>
      </c>
      <c r="I351" s="47" t="n">
        <v>1341</v>
      </c>
    </row>
    <row r="352" customFormat="false" ht="35.05" hidden="false" customHeight="false" outlineLevel="0" collapsed="false">
      <c r="A352" s="46" t="n">
        <v>44492</v>
      </c>
      <c r="B352" s="32" t="str">
        <f aca="false">HYPERLINK("https://my.zakupki.prom.ua/remote/dispatcher/state_purchase_view/31050886", "UA-2021-10-23-006943-b")</f>
        <v>UA-2021-10-23-006943-b</v>
      </c>
      <c r="C352" s="32" t="s">
        <v>588</v>
      </c>
      <c r="D352" s="32" t="s">
        <v>18</v>
      </c>
      <c r="E352" s="50" t="s">
        <v>1245</v>
      </c>
      <c r="F352" s="50" t="s">
        <v>1246</v>
      </c>
      <c r="G352" s="32" t="s">
        <v>1247</v>
      </c>
      <c r="H352" s="32" t="s">
        <v>1248</v>
      </c>
      <c r="I352" s="47" t="n">
        <v>245</v>
      </c>
    </row>
    <row r="353" customFormat="false" ht="23.85" hidden="false" customHeight="false" outlineLevel="0" collapsed="false">
      <c r="A353" s="46" t="n">
        <v>44492</v>
      </c>
      <c r="B353" s="32" t="str">
        <f aca="false">HYPERLINK("https://my.zakupki.prom.ua/remote/dispatcher/state_purchase_view/31051084", "UA-2021-10-23-007005-b")</f>
        <v>UA-2021-10-23-007005-b</v>
      </c>
      <c r="C353" s="32" t="s">
        <v>588</v>
      </c>
      <c r="D353" s="32" t="s">
        <v>1249</v>
      </c>
      <c r="E353" s="50" t="s">
        <v>1245</v>
      </c>
      <c r="F353" s="50" t="s">
        <v>1246</v>
      </c>
      <c r="G353" s="32" t="s">
        <v>1251</v>
      </c>
      <c r="H353" s="32" t="s">
        <v>206</v>
      </c>
      <c r="I353" s="47" t="n">
        <v>160</v>
      </c>
    </row>
    <row r="354" customFormat="false" ht="23.85" hidden="false" customHeight="false" outlineLevel="0" collapsed="false">
      <c r="A354" s="46" t="n">
        <v>44494</v>
      </c>
      <c r="B354" s="32" t="str">
        <f aca="false">HYPERLINK("https://my.zakupki.prom.ua/remote/dispatcher/state_purchase_view/31080463", "UA-2021-10-25-009304-b")</f>
        <v>UA-2021-10-25-009304-b</v>
      </c>
      <c r="C354" s="32" t="s">
        <v>588</v>
      </c>
      <c r="D354" s="32" t="s">
        <v>98</v>
      </c>
      <c r="E354" s="50" t="s">
        <v>1245</v>
      </c>
      <c r="F354" s="50" t="s">
        <v>1246</v>
      </c>
      <c r="G354" s="32" t="s">
        <v>1250</v>
      </c>
      <c r="H354" s="32" t="s">
        <v>349</v>
      </c>
      <c r="I354" s="47" t="n">
        <v>132</v>
      </c>
    </row>
    <row r="355" customFormat="false" ht="35.05" hidden="false" customHeight="false" outlineLevel="0" collapsed="false">
      <c r="A355" s="46" t="n">
        <v>44544</v>
      </c>
      <c r="B355" s="32" t="str">
        <f aca="false">HYPERLINK("https://my.zakupki.prom.ua/remote/dispatcher/state_purchase_view/33031600", "UA-2021-12-14-001143-c")</f>
        <v>UA-2021-12-14-001143-c</v>
      </c>
      <c r="C355" s="32" t="s">
        <v>588</v>
      </c>
      <c r="D355" s="32" t="s">
        <v>1252</v>
      </c>
      <c r="E355" s="50" t="s">
        <v>1245</v>
      </c>
      <c r="F355" s="50" t="s">
        <v>1246</v>
      </c>
      <c r="G355" s="32" t="s">
        <v>1251</v>
      </c>
      <c r="H355" s="32" t="s">
        <v>206</v>
      </c>
      <c r="I355" s="47" t="n">
        <v>2383</v>
      </c>
    </row>
    <row r="356" customFormat="false" ht="23.85" hidden="false" customHeight="false" outlineLevel="0" collapsed="false">
      <c r="A356" s="46" t="n">
        <v>44544</v>
      </c>
      <c r="B356" s="32" t="str">
        <f aca="false">HYPERLINK("https://my.zakupki.prom.ua/remote/dispatcher/state_purchase_view/33028683", "UA-2021-12-14-000325-c")</f>
        <v>UA-2021-12-14-000325-c</v>
      </c>
      <c r="C356" s="32" t="s">
        <v>588</v>
      </c>
      <c r="D356" s="32" t="s">
        <v>1253</v>
      </c>
      <c r="E356" s="50" t="s">
        <v>1245</v>
      </c>
      <c r="F356" s="50" t="s">
        <v>1246</v>
      </c>
      <c r="G356" s="32" t="s">
        <v>1251</v>
      </c>
      <c r="H356" s="32" t="s">
        <v>206</v>
      </c>
      <c r="I356" s="47" t="n">
        <v>2100</v>
      </c>
    </row>
    <row r="357" customFormat="false" ht="23.85" hidden="false" customHeight="false" outlineLevel="0" collapsed="false">
      <c r="A357" s="46" t="n">
        <v>44544</v>
      </c>
      <c r="B357" s="32" t="str">
        <f aca="false">HYPERLINK("https://my.zakupki.prom.ua/remote/dispatcher/state_purchase_view/33035289", "UA-2021-12-14-002171-c")</f>
        <v>UA-2021-12-14-002171-c</v>
      </c>
      <c r="C357" s="32" t="s">
        <v>588</v>
      </c>
      <c r="D357" s="32" t="s">
        <v>366</v>
      </c>
      <c r="E357" s="50" t="s">
        <v>1245</v>
      </c>
      <c r="F357" s="50" t="s">
        <v>1246</v>
      </c>
      <c r="G357" s="32" t="s">
        <v>1254</v>
      </c>
      <c r="H357" s="32" t="s">
        <v>1236</v>
      </c>
      <c r="I357" s="47" t="n">
        <v>200</v>
      </c>
    </row>
    <row r="358" customFormat="false" ht="23.85" hidden="false" customHeight="false" outlineLevel="0" collapsed="false">
      <c r="A358" s="46" t="n">
        <v>44537</v>
      </c>
      <c r="B358" s="32" t="str">
        <f aca="false">HYPERLINK("https://my.zakupki.prom.ua/remote/dispatcher/state_purchase_view/32669090", "UA-2021-12-07-001541-c")</f>
        <v>UA-2021-12-07-001541-c</v>
      </c>
      <c r="C358" s="32" t="s">
        <v>588</v>
      </c>
      <c r="D358" s="32" t="s">
        <v>366</v>
      </c>
      <c r="E358" s="50" t="s">
        <v>1245</v>
      </c>
      <c r="F358" s="50" t="s">
        <v>1246</v>
      </c>
      <c r="G358" s="32" t="s">
        <v>1250</v>
      </c>
      <c r="H358" s="32" t="s">
        <v>349</v>
      </c>
      <c r="I358" s="47" t="n">
        <v>1149</v>
      </c>
    </row>
    <row r="359" customFormat="false" ht="35.05" hidden="false" customHeight="false" outlineLevel="0" collapsed="false">
      <c r="A359" s="46" t="n">
        <v>44492</v>
      </c>
      <c r="B359" s="32" t="str">
        <f aca="false">HYPERLINK("https://my.zakupki.prom.ua/remote/dispatcher/state_purchase_view/31050814", "UA-2021-10-23-006933-b")</f>
        <v>UA-2021-10-23-006933-b</v>
      </c>
      <c r="C359" s="32" t="s">
        <v>588</v>
      </c>
      <c r="D359" s="32" t="s">
        <v>1253</v>
      </c>
      <c r="E359" s="50" t="s">
        <v>1245</v>
      </c>
      <c r="F359" s="50" t="s">
        <v>1246</v>
      </c>
      <c r="G359" s="32" t="s">
        <v>1247</v>
      </c>
      <c r="H359" s="32" t="s">
        <v>1248</v>
      </c>
      <c r="I359" s="47" t="n">
        <v>4130</v>
      </c>
    </row>
    <row r="360" customFormat="false" ht="57.45" hidden="false" customHeight="false" outlineLevel="0" collapsed="false">
      <c r="A360" s="46" t="n">
        <v>44494</v>
      </c>
      <c r="B360" s="32" t="str">
        <f aca="false">HYPERLINK("https://my.zakupki.prom.ua/remote/dispatcher/state_purchase_view/31075902", "UA-2021-10-25-007556-b")</f>
        <v>UA-2021-10-25-007556-b</v>
      </c>
      <c r="C360" s="32" t="s">
        <v>588</v>
      </c>
      <c r="D360" s="32" t="s">
        <v>193</v>
      </c>
      <c r="E360" s="50" t="s">
        <v>1245</v>
      </c>
      <c r="F360" s="50" t="s">
        <v>1246</v>
      </c>
      <c r="G360" s="32" t="s">
        <v>224</v>
      </c>
      <c r="H360" s="32" t="s">
        <v>28</v>
      </c>
      <c r="I360" s="47" t="n">
        <v>298.7</v>
      </c>
    </row>
    <row r="361" customFormat="false" ht="57.45" hidden="false" customHeight="false" outlineLevel="0" collapsed="false">
      <c r="A361" s="46" t="n">
        <v>44503</v>
      </c>
      <c r="B361" s="32" t="str">
        <f aca="false">HYPERLINK("https://my.zakupki.prom.ua/remote/dispatcher/state_purchase_view/31361139", "UA-2021-11-03-000722-a")</f>
        <v>UA-2021-11-03-000722-a</v>
      </c>
      <c r="C361" s="32" t="s">
        <v>588</v>
      </c>
      <c r="D361" s="32" t="s">
        <v>1255</v>
      </c>
      <c r="E361" s="50" t="s">
        <v>1245</v>
      </c>
      <c r="F361" s="50" t="s">
        <v>1246</v>
      </c>
      <c r="G361" s="32" t="s">
        <v>1256</v>
      </c>
      <c r="H361" s="32" t="s">
        <v>1257</v>
      </c>
      <c r="I361" s="47" t="n">
        <v>1222</v>
      </c>
    </row>
    <row r="362" customFormat="false" ht="23.85" hidden="false" customHeight="false" outlineLevel="0" collapsed="false">
      <c r="A362" s="46" t="n">
        <v>44492</v>
      </c>
      <c r="B362" s="32" t="str">
        <f aca="false">HYPERLINK("https://my.zakupki.prom.ua/remote/dispatcher/state_purchase_view/31051048", "UA-2021-10-23-006998-b")</f>
        <v>UA-2021-10-23-006998-b</v>
      </c>
      <c r="C362" s="32" t="s">
        <v>588</v>
      </c>
      <c r="D362" s="32" t="s">
        <v>1258</v>
      </c>
      <c r="E362" s="50" t="s">
        <v>1245</v>
      </c>
      <c r="F362" s="50" t="s">
        <v>1246</v>
      </c>
      <c r="G362" s="32" t="s">
        <v>1251</v>
      </c>
      <c r="H362" s="32" t="s">
        <v>206</v>
      </c>
      <c r="I362" s="47" t="n">
        <v>150</v>
      </c>
    </row>
    <row r="363" customFormat="false" ht="23.85" hidden="false" customHeight="false" outlineLevel="0" collapsed="false">
      <c r="A363" s="46" t="n">
        <v>44544</v>
      </c>
      <c r="B363" s="32" t="str">
        <f aca="false">HYPERLINK("https://my.zakupki.prom.ua/remote/dispatcher/state_purchase_view/33028854", "UA-2021-12-14-000363-c")</f>
        <v>UA-2021-12-14-000363-c</v>
      </c>
      <c r="C363" s="32" t="s">
        <v>588</v>
      </c>
      <c r="D363" s="32" t="s">
        <v>1259</v>
      </c>
      <c r="E363" s="50" t="s">
        <v>1245</v>
      </c>
      <c r="F363" s="50" t="s">
        <v>1246</v>
      </c>
      <c r="G363" s="32" t="s">
        <v>1251</v>
      </c>
      <c r="H363" s="32" t="s">
        <v>206</v>
      </c>
      <c r="I363" s="47" t="n">
        <v>3978</v>
      </c>
    </row>
    <row r="364" customFormat="false" ht="35.05" hidden="false" customHeight="false" outlineLevel="0" collapsed="false">
      <c r="A364" s="46" t="n">
        <v>44544</v>
      </c>
      <c r="B364" s="32" t="str">
        <f aca="false">HYPERLINK("https://my.zakupki.prom.ua/remote/dispatcher/state_purchase_view/33034584", "UA-2021-12-14-001990-c")</f>
        <v>UA-2021-12-14-001990-c</v>
      </c>
      <c r="C364" s="32" t="s">
        <v>588</v>
      </c>
      <c r="D364" s="32" t="s">
        <v>130</v>
      </c>
      <c r="E364" s="50" t="s">
        <v>1245</v>
      </c>
      <c r="F364" s="50" t="s">
        <v>1246</v>
      </c>
      <c r="G364" s="32" t="s">
        <v>1254</v>
      </c>
      <c r="H364" s="32" t="s">
        <v>1236</v>
      </c>
      <c r="I364" s="47" t="n">
        <v>3224</v>
      </c>
    </row>
    <row r="365" customFormat="false" ht="23.85" hidden="false" customHeight="false" outlineLevel="0" collapsed="false">
      <c r="A365" s="46" t="n">
        <v>44544</v>
      </c>
      <c r="B365" s="32" t="str">
        <f aca="false">HYPERLINK("https://my.zakupki.prom.ua/remote/dispatcher/state_purchase_view/33034758", "UA-2021-12-14-002073-c")</f>
        <v>UA-2021-12-14-002073-c</v>
      </c>
      <c r="C365" s="32" t="s">
        <v>588</v>
      </c>
      <c r="D365" s="32" t="s">
        <v>84</v>
      </c>
      <c r="E365" s="50" t="s">
        <v>1245</v>
      </c>
      <c r="F365" s="50" t="s">
        <v>1246</v>
      </c>
      <c r="G365" s="32" t="s">
        <v>1254</v>
      </c>
      <c r="H365" s="32" t="s">
        <v>1236</v>
      </c>
      <c r="I365" s="47" t="n">
        <v>221</v>
      </c>
    </row>
    <row r="366" customFormat="false" ht="23.85" hidden="false" customHeight="false" outlineLevel="0" collapsed="false">
      <c r="A366" s="46" t="n">
        <v>44544</v>
      </c>
      <c r="B366" s="32" t="str">
        <f aca="false">HYPERLINK("https://my.zakupki.prom.ua/remote/dispatcher/state_purchase_view/33064516", "UA-2021-12-14-010649-c")</f>
        <v>UA-2021-12-14-010649-c</v>
      </c>
      <c r="C366" s="32" t="s">
        <v>588</v>
      </c>
      <c r="D366" s="32" t="s">
        <v>1260</v>
      </c>
      <c r="E366" s="50" t="s">
        <v>1245</v>
      </c>
      <c r="F366" s="50" t="s">
        <v>1246</v>
      </c>
      <c r="G366" s="32" t="s">
        <v>1254</v>
      </c>
      <c r="H366" s="32" t="s">
        <v>1236</v>
      </c>
      <c r="I366" s="47" t="n">
        <v>3813</v>
      </c>
    </row>
    <row r="367" customFormat="false" ht="35.05" hidden="false" customHeight="false" outlineLevel="0" collapsed="false">
      <c r="A367" s="46" t="n">
        <v>44492</v>
      </c>
      <c r="B367" s="32" t="str">
        <f aca="false">HYPERLINK("https://my.zakupki.prom.ua/remote/dispatcher/state_purchase_view/31051087", "UA-2021-10-23-007010-b")</f>
        <v>UA-2021-10-23-007010-b</v>
      </c>
      <c r="C367" s="32" t="s">
        <v>588</v>
      </c>
      <c r="D367" s="32" t="s">
        <v>1252</v>
      </c>
      <c r="E367" s="50" t="s">
        <v>1245</v>
      </c>
      <c r="F367" s="50" t="s">
        <v>1246</v>
      </c>
      <c r="G367" s="32" t="s">
        <v>1251</v>
      </c>
      <c r="H367" s="32" t="s">
        <v>206</v>
      </c>
      <c r="I367" s="47" t="n">
        <v>2088</v>
      </c>
    </row>
    <row r="368" customFormat="false" ht="46.25" hidden="false" customHeight="false" outlineLevel="0" collapsed="false">
      <c r="A368" s="46" t="n">
        <v>44494</v>
      </c>
      <c r="B368" s="32" t="str">
        <f aca="false">HYPERLINK("https://my.zakupki.prom.ua/remote/dispatcher/state_purchase_view/31055082", "UA-2021-10-25-000379-b")</f>
        <v>UA-2021-10-25-000379-b</v>
      </c>
      <c r="C368" s="32" t="s">
        <v>588</v>
      </c>
      <c r="D368" s="32" t="s">
        <v>1261</v>
      </c>
      <c r="E368" s="50" t="s">
        <v>1245</v>
      </c>
      <c r="F368" s="50" t="s">
        <v>1246</v>
      </c>
      <c r="G368" s="32" t="s">
        <v>224</v>
      </c>
      <c r="H368" s="32" t="s">
        <v>28</v>
      </c>
      <c r="I368" s="47" t="n">
        <v>61.05</v>
      </c>
    </row>
    <row r="369" customFormat="false" ht="23.85" hidden="false" customHeight="false" outlineLevel="0" collapsed="false">
      <c r="A369" s="46" t="n">
        <v>44494</v>
      </c>
      <c r="B369" s="32" t="str">
        <f aca="false">HYPERLINK("https://my.zakupki.prom.ua/remote/dispatcher/state_purchase_view/31080249", "UA-2021-10-25-009224-b")</f>
        <v>UA-2021-10-25-009224-b</v>
      </c>
      <c r="C369" s="32" t="s">
        <v>588</v>
      </c>
      <c r="D369" s="32" t="s">
        <v>218</v>
      </c>
      <c r="E369" s="50" t="s">
        <v>1245</v>
      </c>
      <c r="F369" s="50" t="s">
        <v>1246</v>
      </c>
      <c r="G369" s="32" t="s">
        <v>1250</v>
      </c>
      <c r="H369" s="32" t="s">
        <v>349</v>
      </c>
      <c r="I369" s="47" t="n">
        <v>341</v>
      </c>
    </row>
    <row r="370" customFormat="false" ht="35.05" hidden="false" customHeight="false" outlineLevel="0" collapsed="false">
      <c r="A370" s="46" t="n">
        <v>44492</v>
      </c>
      <c r="B370" s="32" t="str">
        <f aca="false">HYPERLINK("https://my.zakupki.prom.ua/remote/dispatcher/state_purchase_view/31050849", "UA-2021-10-23-006936-b")</f>
        <v>UA-2021-10-23-006936-b</v>
      </c>
      <c r="C370" s="32" t="s">
        <v>588</v>
      </c>
      <c r="D370" s="32" t="s">
        <v>1249</v>
      </c>
      <c r="E370" s="50" t="s">
        <v>1245</v>
      </c>
      <c r="F370" s="50" t="s">
        <v>1246</v>
      </c>
      <c r="G370" s="32" t="s">
        <v>1247</v>
      </c>
      <c r="H370" s="32" t="s">
        <v>1248</v>
      </c>
      <c r="I370" s="47" t="n">
        <v>2148</v>
      </c>
    </row>
    <row r="371" customFormat="false" ht="23.85" hidden="false" customHeight="false" outlineLevel="0" collapsed="false">
      <c r="A371" s="46" t="n">
        <v>44492</v>
      </c>
      <c r="B371" s="32" t="str">
        <f aca="false">HYPERLINK("https://my.zakupki.prom.ua/remote/dispatcher/state_purchase_view/31051049", "UA-2021-10-23-007000-b")</f>
        <v>UA-2021-10-23-007000-b</v>
      </c>
      <c r="C371" s="32" t="s">
        <v>588</v>
      </c>
      <c r="D371" s="32" t="s">
        <v>1253</v>
      </c>
      <c r="E371" s="50" t="s">
        <v>1245</v>
      </c>
      <c r="F371" s="50" t="s">
        <v>1246</v>
      </c>
      <c r="G371" s="32" t="s">
        <v>1251</v>
      </c>
      <c r="H371" s="32" t="s">
        <v>206</v>
      </c>
      <c r="I371" s="47" t="n">
        <v>1800</v>
      </c>
    </row>
    <row r="372" customFormat="false" ht="35.05" hidden="false" customHeight="false" outlineLevel="0" collapsed="false">
      <c r="A372" s="46" t="n">
        <v>44544</v>
      </c>
      <c r="B372" s="32" t="str">
        <f aca="false">HYPERLINK("https://my.zakupki.prom.ua/remote/dispatcher/state_purchase_view/33036700", "UA-2021-12-14-002530-c")</f>
        <v>UA-2021-12-14-002530-c</v>
      </c>
      <c r="C372" s="32" t="s">
        <v>588</v>
      </c>
      <c r="D372" s="32" t="s">
        <v>292</v>
      </c>
      <c r="E372" s="50" t="s">
        <v>1245</v>
      </c>
      <c r="F372" s="50" t="s">
        <v>1246</v>
      </c>
      <c r="G372" s="32" t="s">
        <v>1250</v>
      </c>
      <c r="H372" s="32" t="s">
        <v>349</v>
      </c>
      <c r="I372" s="47" t="n">
        <v>1609</v>
      </c>
    </row>
    <row r="373" customFormat="false" ht="23.85" hidden="false" customHeight="false" outlineLevel="0" collapsed="false">
      <c r="A373" s="46" t="n">
        <v>44494</v>
      </c>
      <c r="B373" s="32" t="str">
        <f aca="false">HYPERLINK("https://my.zakupki.prom.ua/remote/dispatcher/state_purchase_view/31074956", "UA-2021-10-25-007185-b")</f>
        <v>UA-2021-10-25-007185-b</v>
      </c>
      <c r="C373" s="32" t="s">
        <v>588</v>
      </c>
      <c r="D373" s="32" t="s">
        <v>121</v>
      </c>
      <c r="E373" s="50" t="s">
        <v>1245</v>
      </c>
      <c r="F373" s="50" t="s">
        <v>1246</v>
      </c>
      <c r="G373" s="32" t="s">
        <v>224</v>
      </c>
      <c r="H373" s="32" t="s">
        <v>28</v>
      </c>
      <c r="I373" s="47" t="n">
        <v>183.05</v>
      </c>
    </row>
    <row r="374" customFormat="false" ht="23.85" hidden="false" customHeight="false" outlineLevel="0" collapsed="false">
      <c r="A374" s="46" t="n">
        <v>44494</v>
      </c>
      <c r="B374" s="32" t="str">
        <f aca="false">HYPERLINK("https://my.zakupki.prom.ua/remote/dispatcher/state_purchase_view/31080534", "UA-2021-10-25-009361-b")</f>
        <v>UA-2021-10-25-009361-b</v>
      </c>
      <c r="C374" s="32" t="s">
        <v>588</v>
      </c>
      <c r="D374" s="32" t="s">
        <v>1262</v>
      </c>
      <c r="E374" s="50" t="s">
        <v>1245</v>
      </c>
      <c r="F374" s="50" t="s">
        <v>1246</v>
      </c>
      <c r="G374" s="32" t="s">
        <v>1250</v>
      </c>
      <c r="H374" s="32" t="s">
        <v>349</v>
      </c>
      <c r="I374" s="47" t="n">
        <v>94</v>
      </c>
    </row>
    <row r="375" customFormat="false" ht="35.05" hidden="false" customHeight="false" outlineLevel="0" collapsed="false">
      <c r="A375" s="46" t="n">
        <v>44537</v>
      </c>
      <c r="B375" s="32" t="str">
        <f aca="false">HYPERLINK("https://my.zakupki.prom.ua/remote/dispatcher/state_purchase_view/32666502", "UA-2021-12-07-000774-c")</f>
        <v>UA-2021-12-07-000774-c</v>
      </c>
      <c r="C375" s="32" t="s">
        <v>588</v>
      </c>
      <c r="D375" s="32" t="s">
        <v>1263</v>
      </c>
      <c r="E375" s="50" t="s">
        <v>1245</v>
      </c>
      <c r="F375" s="50" t="s">
        <v>1246</v>
      </c>
      <c r="G375" s="32" t="s">
        <v>1264</v>
      </c>
      <c r="H375" s="32" t="s">
        <v>1265</v>
      </c>
      <c r="I375" s="47" t="n">
        <v>17900</v>
      </c>
    </row>
    <row r="376" customFormat="false" ht="23.85" hidden="false" customHeight="false" outlineLevel="0" collapsed="false">
      <c r="A376" s="46" t="n">
        <v>44544</v>
      </c>
      <c r="B376" s="32" t="str">
        <f aca="false">HYPERLINK("https://my.zakupki.prom.ua/remote/dispatcher/state_purchase_view/33031665", "UA-2021-12-14-001193-c")</f>
        <v>UA-2021-12-14-001193-c</v>
      </c>
      <c r="C376" s="32" t="s">
        <v>588</v>
      </c>
      <c r="D376" s="32" t="s">
        <v>1266</v>
      </c>
      <c r="E376" s="50" t="s">
        <v>1245</v>
      </c>
      <c r="F376" s="50" t="s">
        <v>1246</v>
      </c>
      <c r="G376" s="32" t="s">
        <v>1251</v>
      </c>
      <c r="H376" s="32" t="s">
        <v>206</v>
      </c>
      <c r="I376" s="47" t="n">
        <v>3160</v>
      </c>
    </row>
    <row r="377" customFormat="false" ht="23.85" hidden="false" customHeight="false" outlineLevel="0" collapsed="false">
      <c r="A377" s="46" t="n">
        <v>44494</v>
      </c>
      <c r="B377" s="32" t="str">
        <f aca="false">HYPERLINK("https://my.zakupki.prom.ua/remote/dispatcher/state_purchase_view/31075290", "UA-2021-10-25-007260-b")</f>
        <v>UA-2021-10-25-007260-b</v>
      </c>
      <c r="C377" s="32" t="s">
        <v>588</v>
      </c>
      <c r="D377" s="32" t="s">
        <v>128</v>
      </c>
      <c r="E377" s="50" t="s">
        <v>1245</v>
      </c>
      <c r="F377" s="50" t="s">
        <v>1246</v>
      </c>
      <c r="G377" s="32" t="s">
        <v>224</v>
      </c>
      <c r="H377" s="32" t="s">
        <v>28</v>
      </c>
      <c r="I377" s="47" t="n">
        <v>243.3</v>
      </c>
    </row>
    <row r="378" customFormat="false" ht="35.05" hidden="false" customHeight="false" outlineLevel="0" collapsed="false">
      <c r="A378" s="46" t="n">
        <v>44492</v>
      </c>
      <c r="B378" s="32" t="str">
        <f aca="false">HYPERLINK("https://my.zakupki.prom.ua/remote/dispatcher/state_purchase_view/31050820", "UA-2021-10-23-006931-b")</f>
        <v>UA-2021-10-23-006931-b</v>
      </c>
      <c r="C378" s="32" t="s">
        <v>588</v>
      </c>
      <c r="D378" s="32" t="s">
        <v>1259</v>
      </c>
      <c r="E378" s="50" t="s">
        <v>1245</v>
      </c>
      <c r="F378" s="50" t="s">
        <v>1246</v>
      </c>
      <c r="G378" s="32" t="s">
        <v>1247</v>
      </c>
      <c r="H378" s="32" t="s">
        <v>1248</v>
      </c>
      <c r="I378" s="47" t="n">
        <v>2670</v>
      </c>
    </row>
    <row r="379" customFormat="false" ht="23.85" hidden="false" customHeight="false" outlineLevel="0" collapsed="false">
      <c r="A379" s="46" t="n">
        <v>44492</v>
      </c>
      <c r="B379" s="32" t="str">
        <f aca="false">HYPERLINK("https://my.zakupki.prom.ua/remote/dispatcher/state_purchase_view/31051081", "UA-2021-10-23-007004-b")</f>
        <v>UA-2021-10-23-007004-b</v>
      </c>
      <c r="C379" s="32" t="s">
        <v>588</v>
      </c>
      <c r="D379" s="32" t="s">
        <v>18</v>
      </c>
      <c r="E379" s="50" t="s">
        <v>1245</v>
      </c>
      <c r="F379" s="50" t="s">
        <v>1246</v>
      </c>
      <c r="G379" s="32" t="s">
        <v>1251</v>
      </c>
      <c r="H379" s="32" t="s">
        <v>206</v>
      </c>
      <c r="I379" s="47" t="n">
        <v>42</v>
      </c>
    </row>
    <row r="380" customFormat="false" ht="46.25" hidden="false" customHeight="false" outlineLevel="0" collapsed="false">
      <c r="A380" s="46" t="n">
        <v>44487</v>
      </c>
      <c r="B380" s="32" t="str">
        <f aca="false">HYPERLINK("https://my.zakupki.prom.ua/remote/dispatcher/state_purchase_view/30826508", "UA-2021-10-18-010893-c")</f>
        <v>UA-2021-10-18-010893-c</v>
      </c>
      <c r="C380" s="32" t="s">
        <v>588</v>
      </c>
      <c r="D380" s="32" t="s">
        <v>1267</v>
      </c>
      <c r="E380" s="50" t="s">
        <v>1245</v>
      </c>
      <c r="F380" s="50" t="s">
        <v>1246</v>
      </c>
      <c r="G380" s="32" t="s">
        <v>1268</v>
      </c>
      <c r="H380" s="32" t="s">
        <v>1269</v>
      </c>
      <c r="I380" s="47" t="n">
        <v>11855.52</v>
      </c>
    </row>
    <row r="381" customFormat="false" ht="23.85" hidden="false" customHeight="false" outlineLevel="0" collapsed="false">
      <c r="A381" s="46" t="n">
        <v>44544</v>
      </c>
      <c r="B381" s="32" t="str">
        <f aca="false">HYPERLINK("https://my.zakupki.prom.ua/remote/dispatcher/state_purchase_view/33028884", "UA-2021-12-14-000381-c")</f>
        <v>UA-2021-12-14-000381-c</v>
      </c>
      <c r="C381" s="32" t="s">
        <v>588</v>
      </c>
      <c r="D381" s="32" t="s">
        <v>1258</v>
      </c>
      <c r="E381" s="50" t="s">
        <v>1245</v>
      </c>
      <c r="F381" s="50" t="s">
        <v>1246</v>
      </c>
      <c r="G381" s="32" t="s">
        <v>1251</v>
      </c>
      <c r="H381" s="32" t="s">
        <v>206</v>
      </c>
      <c r="I381" s="47" t="n">
        <v>818</v>
      </c>
    </row>
    <row r="382" customFormat="false" ht="23.85" hidden="false" customHeight="false" outlineLevel="0" collapsed="false">
      <c r="A382" s="46" t="n">
        <v>44544</v>
      </c>
      <c r="B382" s="32" t="str">
        <f aca="false">HYPERLINK("https://my.zakupki.prom.ua/remote/dispatcher/state_purchase_view/33030995", "UA-2021-12-14-001009-c")</f>
        <v>UA-2021-12-14-001009-c</v>
      </c>
      <c r="C382" s="32" t="s">
        <v>588</v>
      </c>
      <c r="D382" s="32" t="s">
        <v>1249</v>
      </c>
      <c r="E382" s="50" t="s">
        <v>1245</v>
      </c>
      <c r="F382" s="50" t="s">
        <v>1246</v>
      </c>
      <c r="G382" s="32" t="s">
        <v>1251</v>
      </c>
      <c r="H382" s="32" t="s">
        <v>206</v>
      </c>
      <c r="I382" s="47" t="n">
        <v>635</v>
      </c>
    </row>
    <row r="383" customFormat="false" ht="23.85" hidden="false" customHeight="false" outlineLevel="0" collapsed="false">
      <c r="A383" s="46" t="n">
        <v>44494</v>
      </c>
      <c r="B383" s="32" t="str">
        <f aca="false">HYPERLINK("https://my.zakupki.prom.ua/remote/dispatcher/state_purchase_view/31075494", "UA-2021-10-25-007337-b")</f>
        <v>UA-2021-10-25-007337-b</v>
      </c>
      <c r="C383" s="32" t="s">
        <v>588</v>
      </c>
      <c r="D383" s="32" t="s">
        <v>328</v>
      </c>
      <c r="E383" s="50" t="s">
        <v>1245</v>
      </c>
      <c r="F383" s="50" t="s">
        <v>1246</v>
      </c>
      <c r="G383" s="32" t="s">
        <v>224</v>
      </c>
      <c r="H383" s="32" t="s">
        <v>28</v>
      </c>
      <c r="I383" s="47" t="n">
        <v>200</v>
      </c>
    </row>
    <row r="384" customFormat="false" ht="23.85" hidden="false" customHeight="false" outlineLevel="0" collapsed="false">
      <c r="A384" s="46" t="n">
        <v>44494</v>
      </c>
      <c r="B384" s="32" t="str">
        <f aca="false">HYPERLINK("https://my.zakupki.prom.ua/remote/dispatcher/state_purchase_view/31081181", "UA-2021-10-25-009540-b")</f>
        <v>UA-2021-10-25-009540-b</v>
      </c>
      <c r="C384" s="32" t="s">
        <v>588</v>
      </c>
      <c r="D384" s="32" t="s">
        <v>53</v>
      </c>
      <c r="E384" s="50" t="s">
        <v>1245</v>
      </c>
      <c r="F384" s="50" t="s">
        <v>1246</v>
      </c>
      <c r="G384" s="32" t="s">
        <v>1250</v>
      </c>
      <c r="H384" s="32" t="s">
        <v>349</v>
      </c>
      <c r="I384" s="47" t="n">
        <v>552</v>
      </c>
    </row>
    <row r="385" customFormat="false" ht="35.05" hidden="false" customHeight="false" outlineLevel="0" collapsed="false">
      <c r="A385" s="46" t="n">
        <v>44494</v>
      </c>
      <c r="B385" s="32" t="str">
        <f aca="false">HYPERLINK("https://my.zakupki.prom.ua/remote/dispatcher/state_purchase_view/31081243", "UA-2021-10-25-009608-b")</f>
        <v>UA-2021-10-25-009608-b</v>
      </c>
      <c r="C385" s="32" t="s">
        <v>588</v>
      </c>
      <c r="D385" s="32" t="s">
        <v>292</v>
      </c>
      <c r="E385" s="50" t="s">
        <v>1245</v>
      </c>
      <c r="F385" s="50" t="s">
        <v>1246</v>
      </c>
      <c r="G385" s="32" t="s">
        <v>1250</v>
      </c>
      <c r="H385" s="32" t="s">
        <v>349</v>
      </c>
      <c r="I385" s="47" t="n">
        <v>324</v>
      </c>
    </row>
    <row r="386" customFormat="false" ht="23.85" hidden="false" customHeight="false" outlineLevel="0" collapsed="false">
      <c r="A386" s="46" t="n">
        <v>44494</v>
      </c>
      <c r="B386" s="32" t="str">
        <f aca="false">HYPERLINK("https://my.zakupki.prom.ua/remote/dispatcher/state_purchase_view/31075632", "UA-2021-10-25-007451-b")</f>
        <v>UA-2021-10-25-007451-b</v>
      </c>
      <c r="C386" s="32" t="s">
        <v>588</v>
      </c>
      <c r="D386" s="32" t="s">
        <v>218</v>
      </c>
      <c r="E386" s="50" t="s">
        <v>1245</v>
      </c>
      <c r="F386" s="50" t="s">
        <v>1246</v>
      </c>
      <c r="G386" s="32" t="s">
        <v>224</v>
      </c>
      <c r="H386" s="32" t="s">
        <v>28</v>
      </c>
      <c r="I386" s="47" t="n">
        <v>50</v>
      </c>
    </row>
    <row r="387" customFormat="false" ht="23.85" hidden="false" customHeight="false" outlineLevel="0" collapsed="false">
      <c r="A387" s="46" t="n">
        <v>44544</v>
      </c>
      <c r="B387" s="32" t="str">
        <f aca="false">HYPERLINK("https://my.zakupki.prom.ua/remote/dispatcher/state_purchase_view/33031318", "UA-2021-12-14-001053-c")</f>
        <v>UA-2021-12-14-001053-c</v>
      </c>
      <c r="C387" s="32" t="s">
        <v>588</v>
      </c>
      <c r="D387" s="32" t="s">
        <v>18</v>
      </c>
      <c r="E387" s="50" t="s">
        <v>1245</v>
      </c>
      <c r="F387" s="50" t="s">
        <v>1246</v>
      </c>
      <c r="G387" s="32" t="s">
        <v>1251</v>
      </c>
      <c r="H387" s="32" t="s">
        <v>206</v>
      </c>
      <c r="I387" s="47" t="n">
        <v>180</v>
      </c>
    </row>
    <row r="388" customFormat="false" ht="23.85" hidden="false" customHeight="false" outlineLevel="0" collapsed="false">
      <c r="A388" s="46" t="n">
        <v>44544</v>
      </c>
      <c r="B388" s="32" t="str">
        <f aca="false">HYPERLINK("https://my.zakupki.prom.ua/remote/dispatcher/state_purchase_view/33035218", "UA-2021-12-14-002119-c")</f>
        <v>UA-2021-12-14-002119-c</v>
      </c>
      <c r="C388" s="32" t="s">
        <v>588</v>
      </c>
      <c r="D388" s="32" t="s">
        <v>1270</v>
      </c>
      <c r="E388" s="50" t="s">
        <v>1245</v>
      </c>
      <c r="F388" s="50" t="s">
        <v>1246</v>
      </c>
      <c r="G388" s="32" t="s">
        <v>1254</v>
      </c>
      <c r="H388" s="32" t="s">
        <v>1236</v>
      </c>
      <c r="I388" s="47" t="n">
        <v>160</v>
      </c>
    </row>
    <row r="389" customFormat="false" ht="23.85" hidden="false" customHeight="false" outlineLevel="0" collapsed="false">
      <c r="A389" s="46" t="n">
        <v>44544</v>
      </c>
      <c r="B389" s="32" t="str">
        <f aca="false">HYPERLINK("https://my.zakupki.prom.ua/remote/dispatcher/state_purchase_view/33036889", "UA-2021-12-14-002650-c")</f>
        <v>UA-2021-12-14-002650-c</v>
      </c>
      <c r="C389" s="32" t="s">
        <v>588</v>
      </c>
      <c r="D389" s="32" t="s">
        <v>53</v>
      </c>
      <c r="E389" s="50" t="s">
        <v>1245</v>
      </c>
      <c r="F389" s="50" t="s">
        <v>1246</v>
      </c>
      <c r="G389" s="32" t="s">
        <v>1250</v>
      </c>
      <c r="H389" s="32" t="s">
        <v>349</v>
      </c>
      <c r="I389" s="47" t="n">
        <v>2504</v>
      </c>
    </row>
    <row r="390" customFormat="false" ht="23.85" hidden="false" customHeight="false" outlineLevel="0" collapsed="false">
      <c r="A390" s="46" t="n">
        <v>44544</v>
      </c>
      <c r="B390" s="32" t="str">
        <f aca="false">HYPERLINK("https://my.zakupki.prom.ua/remote/dispatcher/state_purchase_view/33031712", "UA-2021-12-14-001224-c")</f>
        <v>UA-2021-12-14-001224-c</v>
      </c>
      <c r="C390" s="32" t="s">
        <v>588</v>
      </c>
      <c r="D390" s="32" t="s">
        <v>366</v>
      </c>
      <c r="E390" s="50" t="s">
        <v>1245</v>
      </c>
      <c r="F390" s="50" t="s">
        <v>1246</v>
      </c>
      <c r="G390" s="32" t="s">
        <v>1251</v>
      </c>
      <c r="H390" s="32" t="s">
        <v>206</v>
      </c>
      <c r="I390" s="47" t="n">
        <v>390</v>
      </c>
    </row>
    <row r="391" customFormat="false" ht="23.85" hidden="false" customHeight="false" outlineLevel="0" collapsed="false">
      <c r="A391" s="46" t="n">
        <v>44544</v>
      </c>
      <c r="B391" s="32" t="str">
        <f aca="false">HYPERLINK("https://my.zakupki.prom.ua/remote/dispatcher/state_purchase_view/33029310", "UA-2021-12-14-000492-c")</f>
        <v>UA-2021-12-14-000492-c</v>
      </c>
      <c r="C391" s="32" t="s">
        <v>588</v>
      </c>
      <c r="D391" s="32" t="s">
        <v>1271</v>
      </c>
      <c r="E391" s="50" t="s">
        <v>1245</v>
      </c>
      <c r="F391" s="50" t="s">
        <v>1246</v>
      </c>
      <c r="G391" s="32" t="s">
        <v>1251</v>
      </c>
      <c r="H391" s="32" t="s">
        <v>206</v>
      </c>
      <c r="I391" s="47" t="n">
        <v>537</v>
      </c>
    </row>
    <row r="392" customFormat="false" ht="23.85" hidden="false" customHeight="false" outlineLevel="0" collapsed="false">
      <c r="A392" s="46" t="n">
        <v>44494</v>
      </c>
      <c r="B392" s="32" t="str">
        <f aca="false">HYPERLINK("https://my.zakupki.prom.ua/remote/dispatcher/state_purchase_view/31080625", "UA-2021-10-25-009433-b")</f>
        <v>UA-2021-10-25-009433-b</v>
      </c>
      <c r="C392" s="32" t="s">
        <v>588</v>
      </c>
      <c r="D392" s="32" t="s">
        <v>1272</v>
      </c>
      <c r="E392" s="50" t="s">
        <v>1245</v>
      </c>
      <c r="F392" s="50" t="s">
        <v>1246</v>
      </c>
      <c r="G392" s="32" t="s">
        <v>1250</v>
      </c>
      <c r="H392" s="32" t="s">
        <v>349</v>
      </c>
      <c r="I392" s="47" t="n">
        <v>118</v>
      </c>
    </row>
    <row r="393" customFormat="false" ht="35.05" hidden="false" customHeight="false" outlineLevel="0" collapsed="false">
      <c r="A393" s="46" t="n">
        <v>44492</v>
      </c>
      <c r="B393" s="32" t="str">
        <f aca="false">HYPERLINK("https://my.zakupki.prom.ua/remote/dispatcher/state_purchase_view/31050896", "UA-2021-10-23-006952-b")</f>
        <v>UA-2021-10-23-006952-b</v>
      </c>
      <c r="C393" s="32" t="s">
        <v>588</v>
      </c>
      <c r="D393" s="32" t="s">
        <v>1252</v>
      </c>
      <c r="E393" s="50" t="s">
        <v>1245</v>
      </c>
      <c r="F393" s="50" t="s">
        <v>1246</v>
      </c>
      <c r="G393" s="32" t="s">
        <v>1247</v>
      </c>
      <c r="H393" s="32" t="s">
        <v>1248</v>
      </c>
      <c r="I393" s="47" t="n">
        <v>3205</v>
      </c>
    </row>
    <row r="394" customFormat="false" ht="23.85" hidden="false" customHeight="false" outlineLevel="0" collapsed="false">
      <c r="A394" s="46" t="n">
        <v>44492</v>
      </c>
      <c r="B394" s="32" t="str">
        <f aca="false">HYPERLINK("https://my.zakupki.prom.ua/remote/dispatcher/state_purchase_view/31051020", "UA-2021-10-23-006995-b")</f>
        <v>UA-2021-10-23-006995-b</v>
      </c>
      <c r="C394" s="32" t="s">
        <v>588</v>
      </c>
      <c r="D394" s="32" t="s">
        <v>1259</v>
      </c>
      <c r="E394" s="50" t="s">
        <v>1245</v>
      </c>
      <c r="F394" s="50" t="s">
        <v>1246</v>
      </c>
      <c r="G394" s="32" t="s">
        <v>1251</v>
      </c>
      <c r="H394" s="32" t="s">
        <v>206</v>
      </c>
      <c r="I394" s="47" t="n">
        <v>2560</v>
      </c>
    </row>
    <row r="395" customFormat="false" ht="23.85" hidden="false" customHeight="false" outlineLevel="0" collapsed="false">
      <c r="A395" s="46" t="n">
        <v>44492</v>
      </c>
      <c r="B395" s="32" t="str">
        <f aca="false">HYPERLINK("https://my.zakupki.prom.ua/remote/dispatcher/state_purchase_view/31051065", "UA-2021-10-23-007002-b")</f>
        <v>UA-2021-10-23-007002-b</v>
      </c>
      <c r="C395" s="32" t="s">
        <v>588</v>
      </c>
      <c r="D395" s="32" t="s">
        <v>1244</v>
      </c>
      <c r="E395" s="50" t="s">
        <v>1245</v>
      </c>
      <c r="F395" s="50" t="s">
        <v>1246</v>
      </c>
      <c r="G395" s="32" t="s">
        <v>1251</v>
      </c>
      <c r="H395" s="32" t="s">
        <v>206</v>
      </c>
      <c r="I395" s="47" t="n">
        <v>375</v>
      </c>
    </row>
    <row r="396" customFormat="false" ht="23.85" hidden="false" customHeight="false" outlineLevel="0" collapsed="false">
      <c r="A396" s="46" t="n">
        <v>44544</v>
      </c>
      <c r="B396" s="32" t="str">
        <f aca="false">HYPERLINK("https://my.zakupki.prom.ua/remote/dispatcher/state_purchase_view/33031370", "UA-2021-12-14-001089-c")</f>
        <v>UA-2021-12-14-001089-c</v>
      </c>
      <c r="C396" s="32" t="s">
        <v>588</v>
      </c>
      <c r="D396" s="32" t="s">
        <v>1244</v>
      </c>
      <c r="E396" s="50" t="s">
        <v>1245</v>
      </c>
      <c r="F396" s="50" t="s">
        <v>1246</v>
      </c>
      <c r="G396" s="32" t="s">
        <v>1251</v>
      </c>
      <c r="H396" s="32" t="s">
        <v>206</v>
      </c>
      <c r="I396" s="47" t="n">
        <v>460</v>
      </c>
    </row>
    <row r="397" customFormat="false" ht="23.85" hidden="false" customHeight="false" outlineLevel="0" collapsed="false">
      <c r="A397" s="46" t="n">
        <v>44511</v>
      </c>
      <c r="B397" s="32" t="str">
        <f aca="false">HYPERLINK("https://my.zakupki.prom.ua/remote/dispatcher/state_purchase_view/31680946", "UA-2021-11-11-009043-a")</f>
        <v>UA-2021-11-11-009043-a</v>
      </c>
      <c r="C397" s="32" t="s">
        <v>588</v>
      </c>
      <c r="D397" s="32" t="s">
        <v>1273</v>
      </c>
      <c r="E397" s="50" t="s">
        <v>1245</v>
      </c>
      <c r="F397" s="50" t="s">
        <v>1246</v>
      </c>
      <c r="G397" s="32" t="s">
        <v>835</v>
      </c>
      <c r="H397" s="32" t="s">
        <v>836</v>
      </c>
      <c r="I397" s="47" t="n">
        <v>4800</v>
      </c>
    </row>
    <row r="398" customFormat="false" ht="35.05" hidden="false" customHeight="false" outlineLevel="0" collapsed="false">
      <c r="A398" s="46" t="n">
        <v>44494</v>
      </c>
      <c r="B398" s="32" t="str">
        <f aca="false">HYPERLINK("https://my.zakupki.prom.ua/remote/dispatcher/state_purchase_view/31077250", "UA-2021-10-25-008032-b")</f>
        <v>UA-2021-10-25-008032-b</v>
      </c>
      <c r="C398" s="32" t="s">
        <v>588</v>
      </c>
      <c r="D398" s="32" t="s">
        <v>1274</v>
      </c>
      <c r="E398" s="50" t="s">
        <v>1245</v>
      </c>
      <c r="F398" s="50" t="s">
        <v>1246</v>
      </c>
      <c r="G398" s="32" t="s">
        <v>224</v>
      </c>
      <c r="H398" s="32" t="s">
        <v>28</v>
      </c>
      <c r="I398" s="47" t="n">
        <v>95.3</v>
      </c>
    </row>
    <row r="399" customFormat="false" ht="35.05" hidden="false" customHeight="false" outlineLevel="0" collapsed="false">
      <c r="A399" s="46" t="n">
        <v>44494</v>
      </c>
      <c r="B399" s="32" t="str">
        <f aca="false">HYPERLINK("https://my.zakupki.prom.ua/remote/dispatcher/state_purchase_view/31074006", "UA-2021-10-25-006853-b")</f>
        <v>UA-2021-10-25-006853-b</v>
      </c>
      <c r="C399" s="32" t="s">
        <v>588</v>
      </c>
      <c r="D399" s="32" t="s">
        <v>272</v>
      </c>
      <c r="E399" s="50" t="s">
        <v>1245</v>
      </c>
      <c r="F399" s="50" t="s">
        <v>1246</v>
      </c>
      <c r="G399" s="32" t="s">
        <v>224</v>
      </c>
      <c r="H399" s="32" t="s">
        <v>28</v>
      </c>
      <c r="I399" s="47" t="n">
        <v>19.8</v>
      </c>
    </row>
    <row r="400" customFormat="false" ht="57.45" hidden="false" customHeight="false" outlineLevel="0" collapsed="false">
      <c r="A400" s="51" t="n">
        <v>44474</v>
      </c>
      <c r="B400" s="52" t="s">
        <v>1275</v>
      </c>
      <c r="C400" s="53" t="s">
        <v>1276</v>
      </c>
      <c r="D400" s="52" t="s">
        <v>1277</v>
      </c>
      <c r="E400" s="54" t="s">
        <v>1278</v>
      </c>
      <c r="F400" s="54" t="n">
        <v>3341351</v>
      </c>
      <c r="G400" s="52" t="s">
        <v>1279</v>
      </c>
      <c r="H400" s="52" t="s">
        <v>483</v>
      </c>
      <c r="I400" s="55" t="n">
        <v>6</v>
      </c>
    </row>
    <row r="401" customFormat="false" ht="57.45" hidden="false" customHeight="false" outlineLevel="0" collapsed="false">
      <c r="A401" s="51" t="n">
        <v>44474</v>
      </c>
      <c r="B401" s="52" t="s">
        <v>1280</v>
      </c>
      <c r="C401" s="53" t="s">
        <v>1281</v>
      </c>
      <c r="D401" s="52" t="s">
        <v>1277</v>
      </c>
      <c r="E401" s="54" t="s">
        <v>1278</v>
      </c>
      <c r="F401" s="54" t="n">
        <v>3341351</v>
      </c>
      <c r="G401" s="52" t="s">
        <v>1279</v>
      </c>
      <c r="H401" s="52" t="s">
        <v>483</v>
      </c>
      <c r="I401" s="55" t="n">
        <v>5</v>
      </c>
    </row>
    <row r="402" customFormat="false" ht="57.45" hidden="false" customHeight="false" outlineLevel="0" collapsed="false">
      <c r="A402" s="51" t="n">
        <v>44474</v>
      </c>
      <c r="B402" s="52" t="s">
        <v>1282</v>
      </c>
      <c r="C402" s="53" t="s">
        <v>1283</v>
      </c>
      <c r="D402" s="52" t="s">
        <v>1277</v>
      </c>
      <c r="E402" s="54" t="s">
        <v>1278</v>
      </c>
      <c r="F402" s="54" t="n">
        <v>3341351</v>
      </c>
      <c r="G402" s="52" t="s">
        <v>1279</v>
      </c>
      <c r="H402" s="52" t="s">
        <v>483</v>
      </c>
      <c r="I402" s="55" t="n">
        <v>325</v>
      </c>
    </row>
    <row r="403" customFormat="false" ht="68.65" hidden="false" customHeight="false" outlineLevel="0" collapsed="false">
      <c r="A403" s="51" t="n">
        <v>44475</v>
      </c>
      <c r="B403" s="52" t="s">
        <v>1284</v>
      </c>
      <c r="C403" s="53" t="s">
        <v>1285</v>
      </c>
      <c r="D403" s="52" t="s">
        <v>1286</v>
      </c>
      <c r="E403" s="54" t="s">
        <v>1278</v>
      </c>
      <c r="F403" s="54" t="n">
        <v>3341351</v>
      </c>
      <c r="G403" s="52" t="s">
        <v>1287</v>
      </c>
      <c r="H403" s="52" t="s">
        <v>1288</v>
      </c>
      <c r="I403" s="55" t="n">
        <v>1191.44</v>
      </c>
    </row>
    <row r="404" customFormat="false" ht="57.45" hidden="false" customHeight="false" outlineLevel="0" collapsed="false">
      <c r="A404" s="51" t="n">
        <v>44475</v>
      </c>
      <c r="B404" s="52" t="s">
        <v>1289</v>
      </c>
      <c r="C404" s="53" t="s">
        <v>1290</v>
      </c>
      <c r="D404" s="52" t="s">
        <v>1291</v>
      </c>
      <c r="E404" s="54" t="s">
        <v>1278</v>
      </c>
      <c r="F404" s="54" t="n">
        <v>3341351</v>
      </c>
      <c r="G404" s="52" t="s">
        <v>1292</v>
      </c>
      <c r="H404" s="52" t="s">
        <v>1293</v>
      </c>
      <c r="I404" s="55" t="n">
        <v>9900.36</v>
      </c>
    </row>
    <row r="405" customFormat="false" ht="57.45" hidden="false" customHeight="false" outlineLevel="0" collapsed="false">
      <c r="A405" s="51" t="n">
        <v>44477</v>
      </c>
      <c r="B405" s="52" t="s">
        <v>1294</v>
      </c>
      <c r="C405" s="53" t="s">
        <v>1295</v>
      </c>
      <c r="D405" s="52" t="s">
        <v>1296</v>
      </c>
      <c r="E405" s="54" t="s">
        <v>1278</v>
      </c>
      <c r="F405" s="54" t="n">
        <v>3341351</v>
      </c>
      <c r="G405" s="52" t="s">
        <v>742</v>
      </c>
      <c r="H405" s="52" t="s">
        <v>1297</v>
      </c>
      <c r="I405" s="55" t="n">
        <v>500</v>
      </c>
    </row>
    <row r="406" customFormat="false" ht="68.65" hidden="false" customHeight="false" outlineLevel="0" collapsed="false">
      <c r="A406" s="51" t="s">
        <v>1298</v>
      </c>
      <c r="B406" s="52" t="s">
        <v>1299</v>
      </c>
      <c r="C406" s="53" t="s">
        <v>1300</v>
      </c>
      <c r="D406" s="52" t="s">
        <v>1301</v>
      </c>
      <c r="E406" s="54" t="s">
        <v>1278</v>
      </c>
      <c r="F406" s="54" t="n">
        <v>3341351</v>
      </c>
      <c r="G406" s="52" t="s">
        <v>1302</v>
      </c>
      <c r="H406" s="52" t="s">
        <v>1303</v>
      </c>
      <c r="I406" s="55" t="n">
        <v>49000</v>
      </c>
    </row>
    <row r="407" customFormat="false" ht="57.45" hidden="false" customHeight="false" outlineLevel="0" collapsed="false">
      <c r="A407" s="51" t="s">
        <v>1298</v>
      </c>
      <c r="B407" s="52" t="s">
        <v>1304</v>
      </c>
      <c r="C407" s="53" t="s">
        <v>1305</v>
      </c>
      <c r="D407" s="52" t="s">
        <v>1306</v>
      </c>
      <c r="E407" s="54" t="s">
        <v>1278</v>
      </c>
      <c r="F407" s="54" t="n">
        <v>3341351</v>
      </c>
      <c r="G407" s="52" t="s">
        <v>1307</v>
      </c>
      <c r="H407" s="52" t="s">
        <v>1308</v>
      </c>
      <c r="I407" s="55" t="n">
        <v>30000</v>
      </c>
    </row>
    <row r="408" customFormat="false" ht="57.45" hidden="false" customHeight="false" outlineLevel="0" collapsed="false">
      <c r="A408" s="51" t="s">
        <v>1298</v>
      </c>
      <c r="B408" s="52" t="s">
        <v>1309</v>
      </c>
      <c r="C408" s="53" t="s">
        <v>1310</v>
      </c>
      <c r="D408" s="52" t="s">
        <v>1311</v>
      </c>
      <c r="E408" s="54" t="s">
        <v>1278</v>
      </c>
      <c r="F408" s="54" t="n">
        <v>3341351</v>
      </c>
      <c r="G408" s="52" t="s">
        <v>1307</v>
      </c>
      <c r="H408" s="52" t="s">
        <v>1308</v>
      </c>
      <c r="I408" s="55" t="n">
        <v>19000</v>
      </c>
    </row>
    <row r="409" customFormat="false" ht="68.65" hidden="false" customHeight="false" outlineLevel="0" collapsed="false">
      <c r="A409" s="51" t="s">
        <v>1298</v>
      </c>
      <c r="B409" s="52" t="s">
        <v>1312</v>
      </c>
      <c r="C409" s="53" t="s">
        <v>1313</v>
      </c>
      <c r="D409" s="52" t="s">
        <v>1314</v>
      </c>
      <c r="E409" s="54" t="s">
        <v>1278</v>
      </c>
      <c r="F409" s="54" t="n">
        <v>3341351</v>
      </c>
      <c r="G409" s="52" t="s">
        <v>1315</v>
      </c>
      <c r="H409" s="52" t="s">
        <v>1316</v>
      </c>
      <c r="I409" s="55" t="n">
        <v>580</v>
      </c>
    </row>
    <row r="410" customFormat="false" ht="79.85" hidden="false" customHeight="false" outlineLevel="0" collapsed="false">
      <c r="A410" s="51" t="s">
        <v>1317</v>
      </c>
      <c r="B410" s="52" t="s">
        <v>1318</v>
      </c>
      <c r="C410" s="53" t="s">
        <v>1319</v>
      </c>
      <c r="D410" s="52" t="s">
        <v>1320</v>
      </c>
      <c r="E410" s="54" t="s">
        <v>1278</v>
      </c>
      <c r="F410" s="54" t="n">
        <v>3341351</v>
      </c>
      <c r="G410" s="52" t="s">
        <v>1321</v>
      </c>
      <c r="H410" s="52" t="s">
        <v>1322</v>
      </c>
      <c r="I410" s="55" t="n">
        <v>10000</v>
      </c>
    </row>
    <row r="411" customFormat="false" ht="57.45" hidden="false" customHeight="false" outlineLevel="0" collapsed="false">
      <c r="A411" s="51" t="s">
        <v>1323</v>
      </c>
      <c r="B411" s="52" t="s">
        <v>1324</v>
      </c>
      <c r="C411" s="53" t="s">
        <v>1325</v>
      </c>
      <c r="D411" s="52" t="s">
        <v>1326</v>
      </c>
      <c r="E411" s="54" t="s">
        <v>1278</v>
      </c>
      <c r="F411" s="54" t="n">
        <v>3341351</v>
      </c>
      <c r="G411" s="52" t="s">
        <v>1327</v>
      </c>
      <c r="H411" s="52" t="s">
        <v>1328</v>
      </c>
      <c r="I411" s="55" t="n">
        <v>854.6</v>
      </c>
    </row>
    <row r="412" customFormat="false" ht="57.45" hidden="false" customHeight="false" outlineLevel="0" collapsed="false">
      <c r="A412" s="51" t="s">
        <v>1323</v>
      </c>
      <c r="B412" s="52" t="s">
        <v>1329</v>
      </c>
      <c r="C412" s="53" t="s">
        <v>1330</v>
      </c>
      <c r="D412" s="52" t="s">
        <v>1331</v>
      </c>
      <c r="E412" s="54" t="s">
        <v>1278</v>
      </c>
      <c r="F412" s="54" t="n">
        <v>3341351</v>
      </c>
      <c r="G412" s="52" t="s">
        <v>1327</v>
      </c>
      <c r="H412" s="52" t="s">
        <v>1328</v>
      </c>
      <c r="I412" s="55" t="n">
        <v>2209.08</v>
      </c>
    </row>
    <row r="413" customFormat="false" ht="68.65" hidden="false" customHeight="false" outlineLevel="0" collapsed="false">
      <c r="A413" s="51" t="s">
        <v>1323</v>
      </c>
      <c r="B413" s="52" t="s">
        <v>1332</v>
      </c>
      <c r="C413" s="53" t="s">
        <v>1333</v>
      </c>
      <c r="D413" s="52" t="s">
        <v>1334</v>
      </c>
      <c r="E413" s="54" t="s">
        <v>1278</v>
      </c>
      <c r="F413" s="54" t="n">
        <v>3341351</v>
      </c>
      <c r="G413" s="52" t="s">
        <v>1335</v>
      </c>
      <c r="H413" s="52" t="s">
        <v>1336</v>
      </c>
      <c r="I413" s="55" t="n">
        <v>346.6</v>
      </c>
    </row>
    <row r="414" customFormat="false" ht="57.45" hidden="false" customHeight="false" outlineLevel="0" collapsed="false">
      <c r="A414" s="51" t="s">
        <v>1337</v>
      </c>
      <c r="B414" s="52" t="s">
        <v>1338</v>
      </c>
      <c r="C414" s="53" t="s">
        <v>1339</v>
      </c>
      <c r="D414" s="52" t="s">
        <v>1340</v>
      </c>
      <c r="E414" s="54" t="s">
        <v>1278</v>
      </c>
      <c r="F414" s="54" t="n">
        <v>3341351</v>
      </c>
      <c r="G414" s="52" t="s">
        <v>1341</v>
      </c>
      <c r="H414" s="52" t="s">
        <v>1342</v>
      </c>
      <c r="I414" s="55" t="n">
        <v>10000</v>
      </c>
    </row>
    <row r="415" customFormat="false" ht="57.45" hidden="false" customHeight="false" outlineLevel="0" collapsed="false">
      <c r="A415" s="51" t="s">
        <v>1337</v>
      </c>
      <c r="B415" s="52" t="s">
        <v>1343</v>
      </c>
      <c r="C415" s="53" t="s">
        <v>1344</v>
      </c>
      <c r="D415" s="52" t="s">
        <v>1345</v>
      </c>
      <c r="E415" s="54" t="s">
        <v>1278</v>
      </c>
      <c r="F415" s="54" t="n">
        <v>3341351</v>
      </c>
      <c r="G415" s="52" t="s">
        <v>1341</v>
      </c>
      <c r="H415" s="52" t="s">
        <v>1342</v>
      </c>
      <c r="I415" s="55" t="n">
        <v>10000</v>
      </c>
    </row>
    <row r="416" customFormat="false" ht="57.45" hidden="false" customHeight="false" outlineLevel="0" collapsed="false">
      <c r="A416" s="51" t="s">
        <v>1337</v>
      </c>
      <c r="B416" s="52" t="s">
        <v>1346</v>
      </c>
      <c r="C416" s="53" t="s">
        <v>1347</v>
      </c>
      <c r="D416" s="52" t="s">
        <v>1348</v>
      </c>
      <c r="E416" s="54" t="s">
        <v>1278</v>
      </c>
      <c r="F416" s="54" t="n">
        <v>3341351</v>
      </c>
      <c r="G416" s="52" t="s">
        <v>1341</v>
      </c>
      <c r="H416" s="52" t="s">
        <v>1342</v>
      </c>
      <c r="I416" s="55" t="n">
        <v>10000</v>
      </c>
    </row>
    <row r="417" customFormat="false" ht="57.45" hidden="false" customHeight="false" outlineLevel="0" collapsed="false">
      <c r="A417" s="51" t="s">
        <v>1349</v>
      </c>
      <c r="B417" s="52" t="s">
        <v>1350</v>
      </c>
      <c r="C417" s="53" t="s">
        <v>1351</v>
      </c>
      <c r="D417" s="52" t="s">
        <v>1352</v>
      </c>
      <c r="E417" s="54" t="s">
        <v>1278</v>
      </c>
      <c r="F417" s="54" t="n">
        <v>3341351</v>
      </c>
      <c r="G417" s="52" t="s">
        <v>1353</v>
      </c>
      <c r="H417" s="52" t="s">
        <v>1354</v>
      </c>
      <c r="I417" s="55" t="n">
        <v>950.4</v>
      </c>
    </row>
    <row r="418" customFormat="false" ht="57.45" hidden="false" customHeight="false" outlineLevel="0" collapsed="false">
      <c r="A418" s="51" t="s">
        <v>1349</v>
      </c>
      <c r="B418" s="52" t="s">
        <v>1355</v>
      </c>
      <c r="C418" s="53" t="s">
        <v>1356</v>
      </c>
      <c r="D418" s="52" t="s">
        <v>1357</v>
      </c>
      <c r="E418" s="54" t="s">
        <v>1278</v>
      </c>
      <c r="F418" s="54" t="n">
        <v>3341351</v>
      </c>
      <c r="G418" s="52" t="s">
        <v>1358</v>
      </c>
      <c r="H418" s="52" t="s">
        <v>1359</v>
      </c>
      <c r="I418" s="55" t="n">
        <v>49000</v>
      </c>
    </row>
    <row r="419" customFormat="false" ht="57.45" hidden="false" customHeight="false" outlineLevel="0" collapsed="false">
      <c r="A419" s="51" t="s">
        <v>1349</v>
      </c>
      <c r="B419" s="52" t="s">
        <v>1360</v>
      </c>
      <c r="C419" s="53" t="s">
        <v>1361</v>
      </c>
      <c r="D419" s="52" t="s">
        <v>1362</v>
      </c>
      <c r="E419" s="54" t="s">
        <v>1278</v>
      </c>
      <c r="F419" s="54" t="n">
        <v>3341351</v>
      </c>
      <c r="G419" s="52" t="s">
        <v>1363</v>
      </c>
      <c r="H419" s="52" t="s">
        <v>1364</v>
      </c>
      <c r="I419" s="55" t="n">
        <v>10000</v>
      </c>
    </row>
    <row r="420" customFormat="false" ht="57.45" hidden="false" customHeight="false" outlineLevel="0" collapsed="false">
      <c r="A420" s="51" t="s">
        <v>1365</v>
      </c>
      <c r="B420" s="52" t="s">
        <v>1366</v>
      </c>
      <c r="C420" s="53" t="s">
        <v>1367</v>
      </c>
      <c r="D420" s="52" t="s">
        <v>1368</v>
      </c>
      <c r="E420" s="54" t="s">
        <v>1278</v>
      </c>
      <c r="F420" s="54" t="n">
        <v>3341351</v>
      </c>
      <c r="G420" s="52" t="s">
        <v>1369</v>
      </c>
      <c r="H420" s="52" t="s">
        <v>1370</v>
      </c>
      <c r="I420" s="55" t="n">
        <v>4150</v>
      </c>
    </row>
    <row r="421" customFormat="false" ht="57.45" hidden="false" customHeight="false" outlineLevel="0" collapsed="false">
      <c r="A421" s="51" t="s">
        <v>1365</v>
      </c>
      <c r="B421" s="52" t="s">
        <v>1371</v>
      </c>
      <c r="C421" s="53" t="s">
        <v>1367</v>
      </c>
      <c r="D421" s="52" t="s">
        <v>1368</v>
      </c>
      <c r="E421" s="54" t="s">
        <v>1278</v>
      </c>
      <c r="F421" s="54" t="n">
        <v>3341351</v>
      </c>
      <c r="G421" s="52" t="s">
        <v>1369</v>
      </c>
      <c r="H421" s="52" t="s">
        <v>1370</v>
      </c>
      <c r="I421" s="55" t="n">
        <v>9130</v>
      </c>
    </row>
    <row r="422" customFormat="false" ht="57.45" hidden="false" customHeight="false" outlineLevel="0" collapsed="false">
      <c r="A422" s="51" t="s">
        <v>1365</v>
      </c>
      <c r="B422" s="52" t="s">
        <v>1372</v>
      </c>
      <c r="C422" s="53" t="s">
        <v>1373</v>
      </c>
      <c r="D422" s="52" t="s">
        <v>1320</v>
      </c>
      <c r="E422" s="54" t="s">
        <v>1278</v>
      </c>
      <c r="F422" s="54" t="n">
        <v>3341351</v>
      </c>
      <c r="G422" s="52" t="s">
        <v>1374</v>
      </c>
      <c r="H422" s="52" t="s">
        <v>1375</v>
      </c>
      <c r="I422" s="55" t="n">
        <v>135</v>
      </c>
    </row>
    <row r="423" customFormat="false" ht="57.45" hidden="false" customHeight="false" outlineLevel="0" collapsed="false">
      <c r="A423" s="51" t="s">
        <v>1376</v>
      </c>
      <c r="B423" s="52" t="s">
        <v>1377</v>
      </c>
      <c r="C423" s="53" t="s">
        <v>1378</v>
      </c>
      <c r="D423" s="52" t="s">
        <v>1379</v>
      </c>
      <c r="E423" s="54" t="s">
        <v>1278</v>
      </c>
      <c r="F423" s="54" t="n">
        <v>3341351</v>
      </c>
      <c r="G423" s="52" t="s">
        <v>1380</v>
      </c>
      <c r="H423" s="52" t="s">
        <v>1381</v>
      </c>
      <c r="I423" s="55" t="n">
        <v>10000</v>
      </c>
    </row>
    <row r="424" customFormat="false" ht="57.45" hidden="false" customHeight="false" outlineLevel="0" collapsed="false">
      <c r="A424" s="51" t="s">
        <v>1376</v>
      </c>
      <c r="B424" s="52" t="s">
        <v>1382</v>
      </c>
      <c r="C424" s="53" t="s">
        <v>1383</v>
      </c>
      <c r="D424" s="52" t="s">
        <v>1384</v>
      </c>
      <c r="E424" s="54" t="s">
        <v>1278</v>
      </c>
      <c r="F424" s="54" t="n">
        <v>3341351</v>
      </c>
      <c r="G424" s="52" t="s">
        <v>1380</v>
      </c>
      <c r="H424" s="52" t="s">
        <v>1381</v>
      </c>
      <c r="I424" s="55" t="n">
        <v>15000</v>
      </c>
    </row>
    <row r="425" customFormat="false" ht="57.45" hidden="false" customHeight="false" outlineLevel="0" collapsed="false">
      <c r="A425" s="51" t="s">
        <v>1385</v>
      </c>
      <c r="B425" s="52" t="s">
        <v>1386</v>
      </c>
      <c r="C425" s="53" t="s">
        <v>1305</v>
      </c>
      <c r="D425" s="52" t="s">
        <v>1306</v>
      </c>
      <c r="E425" s="54" t="s">
        <v>1278</v>
      </c>
      <c r="F425" s="54" t="n">
        <v>3341351</v>
      </c>
      <c r="G425" s="52" t="s">
        <v>1387</v>
      </c>
      <c r="H425" s="52" t="s">
        <v>1388</v>
      </c>
      <c r="I425" s="55" t="n">
        <v>6751.33</v>
      </c>
    </row>
    <row r="426" customFormat="false" ht="57.45" hidden="false" customHeight="false" outlineLevel="0" collapsed="false">
      <c r="A426" s="51" t="s">
        <v>1385</v>
      </c>
      <c r="B426" s="52" t="s">
        <v>1389</v>
      </c>
      <c r="C426" s="53" t="s">
        <v>1390</v>
      </c>
      <c r="D426" s="52" t="s">
        <v>1391</v>
      </c>
      <c r="E426" s="54" t="s">
        <v>1278</v>
      </c>
      <c r="F426" s="54" t="n">
        <v>3341351</v>
      </c>
      <c r="G426" s="52" t="s">
        <v>1392</v>
      </c>
      <c r="H426" s="52" t="s">
        <v>1393</v>
      </c>
      <c r="I426" s="55" t="n">
        <v>5950.14</v>
      </c>
    </row>
    <row r="427" customFormat="false" ht="57.45" hidden="false" customHeight="false" outlineLevel="0" collapsed="false">
      <c r="A427" s="51" t="s">
        <v>1385</v>
      </c>
      <c r="B427" s="52" t="s">
        <v>1394</v>
      </c>
      <c r="C427" s="53" t="s">
        <v>1395</v>
      </c>
      <c r="D427" s="52" t="s">
        <v>1396</v>
      </c>
      <c r="E427" s="54" t="s">
        <v>1278</v>
      </c>
      <c r="F427" s="54" t="n">
        <v>3341351</v>
      </c>
      <c r="G427" s="52" t="s">
        <v>1397</v>
      </c>
      <c r="H427" s="52" t="s">
        <v>1398</v>
      </c>
      <c r="I427" s="55" t="n">
        <v>212</v>
      </c>
    </row>
    <row r="428" customFormat="false" ht="57.45" hidden="false" customHeight="false" outlineLevel="0" collapsed="false">
      <c r="A428" s="51" t="s">
        <v>1385</v>
      </c>
      <c r="B428" s="52" t="s">
        <v>1399</v>
      </c>
      <c r="C428" s="53" t="s">
        <v>1400</v>
      </c>
      <c r="D428" s="52" t="s">
        <v>1396</v>
      </c>
      <c r="E428" s="54" t="s">
        <v>1278</v>
      </c>
      <c r="F428" s="54" t="n">
        <v>3341351</v>
      </c>
      <c r="G428" s="52" t="s">
        <v>1397</v>
      </c>
      <c r="H428" s="52" t="s">
        <v>1398</v>
      </c>
      <c r="I428" s="55" t="n">
        <v>1890</v>
      </c>
    </row>
    <row r="429" customFormat="false" ht="57.45" hidden="false" customHeight="false" outlineLevel="0" collapsed="false">
      <c r="A429" s="51" t="s">
        <v>1401</v>
      </c>
      <c r="B429" s="52" t="s">
        <v>1402</v>
      </c>
      <c r="C429" s="53" t="s">
        <v>1367</v>
      </c>
      <c r="D429" s="52" t="s">
        <v>1368</v>
      </c>
      <c r="E429" s="54" t="s">
        <v>1278</v>
      </c>
      <c r="F429" s="54" t="n">
        <v>3341351</v>
      </c>
      <c r="G429" s="52" t="s">
        <v>1369</v>
      </c>
      <c r="H429" s="52" t="s">
        <v>1370</v>
      </c>
      <c r="I429" s="55" t="n">
        <v>3120</v>
      </c>
    </row>
    <row r="430" customFormat="false" ht="57.45" hidden="false" customHeight="false" outlineLevel="0" collapsed="false">
      <c r="A430" s="51" t="s">
        <v>1401</v>
      </c>
      <c r="B430" s="52" t="s">
        <v>1403</v>
      </c>
      <c r="C430" s="53" t="s">
        <v>1404</v>
      </c>
      <c r="D430" s="52" t="s">
        <v>1405</v>
      </c>
      <c r="E430" s="54" t="s">
        <v>1278</v>
      </c>
      <c r="F430" s="54" t="n">
        <v>3341351</v>
      </c>
      <c r="G430" s="52" t="s">
        <v>1406</v>
      </c>
      <c r="H430" s="52" t="s">
        <v>1407</v>
      </c>
      <c r="I430" s="56" t="n">
        <v>8000</v>
      </c>
    </row>
    <row r="431" customFormat="false" ht="57.45" hidden="false" customHeight="false" outlineLevel="0" collapsed="false">
      <c r="A431" s="51" t="s">
        <v>1408</v>
      </c>
      <c r="B431" s="52" t="s">
        <v>1409</v>
      </c>
      <c r="C431" s="53" t="s">
        <v>1410</v>
      </c>
      <c r="D431" s="52" t="s">
        <v>1411</v>
      </c>
      <c r="E431" s="54" t="s">
        <v>1278</v>
      </c>
      <c r="F431" s="54" t="n">
        <v>3341351</v>
      </c>
      <c r="G431" s="52" t="s">
        <v>1412</v>
      </c>
      <c r="H431" s="52" t="s">
        <v>1407</v>
      </c>
      <c r="I431" s="56" t="n">
        <v>17000</v>
      </c>
    </row>
    <row r="432" customFormat="false" ht="57.45" hidden="false" customHeight="false" outlineLevel="0" collapsed="false">
      <c r="A432" s="51" t="s">
        <v>1408</v>
      </c>
      <c r="B432" s="52" t="s">
        <v>1413</v>
      </c>
      <c r="C432" s="53" t="s">
        <v>1414</v>
      </c>
      <c r="D432" s="52" t="s">
        <v>1415</v>
      </c>
      <c r="E432" s="54" t="s">
        <v>1278</v>
      </c>
      <c r="F432" s="54" t="n">
        <v>3341351</v>
      </c>
      <c r="G432" s="54" t="s">
        <v>1321</v>
      </c>
      <c r="H432" s="52" t="s">
        <v>1322</v>
      </c>
      <c r="I432" s="55" t="n">
        <v>15000</v>
      </c>
    </row>
    <row r="433" customFormat="false" ht="57.45" hidden="false" customHeight="false" outlineLevel="0" collapsed="false">
      <c r="A433" s="51" t="s">
        <v>1408</v>
      </c>
      <c r="B433" s="52" t="s">
        <v>1416</v>
      </c>
      <c r="C433" s="53" t="s">
        <v>1417</v>
      </c>
      <c r="D433" s="52" t="s">
        <v>1418</v>
      </c>
      <c r="E433" s="54" t="s">
        <v>1278</v>
      </c>
      <c r="F433" s="54" t="n">
        <v>3341351</v>
      </c>
      <c r="G433" s="54" t="s">
        <v>1321</v>
      </c>
      <c r="H433" s="52" t="s">
        <v>1322</v>
      </c>
      <c r="I433" s="55" t="n">
        <v>5000</v>
      </c>
    </row>
    <row r="434" customFormat="false" ht="57.45" hidden="false" customHeight="false" outlineLevel="0" collapsed="false">
      <c r="A434" s="51" t="s">
        <v>1408</v>
      </c>
      <c r="B434" s="52" t="s">
        <v>1419</v>
      </c>
      <c r="C434" s="53" t="s">
        <v>1420</v>
      </c>
      <c r="D434" s="52" t="s">
        <v>1291</v>
      </c>
      <c r="E434" s="54" t="s">
        <v>1278</v>
      </c>
      <c r="F434" s="54" t="n">
        <v>3341351</v>
      </c>
      <c r="G434" s="54" t="s">
        <v>1321</v>
      </c>
      <c r="H434" s="52" t="s">
        <v>1322</v>
      </c>
      <c r="I434" s="55" t="n">
        <v>15000</v>
      </c>
    </row>
    <row r="435" customFormat="false" ht="57.45" hidden="false" customHeight="false" outlineLevel="0" collapsed="false">
      <c r="A435" s="51" t="s">
        <v>1421</v>
      </c>
      <c r="B435" s="52" t="s">
        <v>1422</v>
      </c>
      <c r="C435" s="53" t="s">
        <v>1423</v>
      </c>
      <c r="D435" s="52" t="s">
        <v>1424</v>
      </c>
      <c r="E435" s="54" t="s">
        <v>1278</v>
      </c>
      <c r="F435" s="54" t="n">
        <v>3341351</v>
      </c>
      <c r="G435" s="52" t="s">
        <v>1425</v>
      </c>
      <c r="H435" s="52" t="s">
        <v>1426</v>
      </c>
      <c r="I435" s="55" t="n">
        <v>700</v>
      </c>
    </row>
    <row r="436" customFormat="false" ht="57.45" hidden="false" customHeight="false" outlineLevel="0" collapsed="false">
      <c r="A436" s="51" t="s">
        <v>1421</v>
      </c>
      <c r="B436" s="52" t="s">
        <v>1427</v>
      </c>
      <c r="C436" s="53" t="s">
        <v>1428</v>
      </c>
      <c r="D436" s="52" t="s">
        <v>1429</v>
      </c>
      <c r="E436" s="54" t="s">
        <v>1278</v>
      </c>
      <c r="F436" s="54" t="n">
        <v>3341351</v>
      </c>
      <c r="G436" s="52" t="s">
        <v>1430</v>
      </c>
      <c r="H436" s="52" t="s">
        <v>1431</v>
      </c>
      <c r="I436" s="55" t="n">
        <v>46252.5</v>
      </c>
    </row>
    <row r="437" customFormat="false" ht="57.45" hidden="false" customHeight="false" outlineLevel="0" collapsed="false">
      <c r="A437" s="51" t="s">
        <v>1432</v>
      </c>
      <c r="B437" s="52" t="s">
        <v>1433</v>
      </c>
      <c r="C437" s="53" t="s">
        <v>1434</v>
      </c>
      <c r="D437" s="52" t="s">
        <v>1435</v>
      </c>
      <c r="E437" s="54" t="s">
        <v>1278</v>
      </c>
      <c r="F437" s="54" t="n">
        <v>3341351</v>
      </c>
      <c r="G437" s="52" t="s">
        <v>1436</v>
      </c>
      <c r="H437" s="52" t="s">
        <v>1437</v>
      </c>
      <c r="I437" s="55" t="n">
        <v>15240</v>
      </c>
    </row>
    <row r="438" customFormat="false" ht="57.45" hidden="false" customHeight="false" outlineLevel="0" collapsed="false">
      <c r="A438" s="51" t="s">
        <v>1438</v>
      </c>
      <c r="B438" s="52" t="s">
        <v>1439</v>
      </c>
      <c r="C438" s="53" t="s">
        <v>1367</v>
      </c>
      <c r="D438" s="52" t="s">
        <v>1368</v>
      </c>
      <c r="E438" s="54" t="s">
        <v>1278</v>
      </c>
      <c r="F438" s="54" t="n">
        <v>3341351</v>
      </c>
      <c r="G438" s="52" t="s">
        <v>1369</v>
      </c>
      <c r="H438" s="52" t="s">
        <v>1370</v>
      </c>
      <c r="I438" s="55" t="n">
        <v>5810</v>
      </c>
    </row>
    <row r="439" customFormat="false" ht="57.45" hidden="false" customHeight="false" outlineLevel="0" collapsed="false">
      <c r="A439" s="51" t="s">
        <v>1440</v>
      </c>
      <c r="B439" s="52" t="s">
        <v>1441</v>
      </c>
      <c r="C439" s="53" t="s">
        <v>1367</v>
      </c>
      <c r="D439" s="52" t="s">
        <v>1368</v>
      </c>
      <c r="E439" s="54" t="s">
        <v>1278</v>
      </c>
      <c r="F439" s="54" t="n">
        <v>3341351</v>
      </c>
      <c r="G439" s="52" t="s">
        <v>1369</v>
      </c>
      <c r="H439" s="52" t="s">
        <v>1370</v>
      </c>
      <c r="I439" s="55" t="n">
        <v>830</v>
      </c>
    </row>
    <row r="440" customFormat="false" ht="57.45" hidden="false" customHeight="false" outlineLevel="0" collapsed="false">
      <c r="A440" s="51" t="s">
        <v>1440</v>
      </c>
      <c r="B440" s="52" t="s">
        <v>1442</v>
      </c>
      <c r="C440" s="53" t="s">
        <v>1443</v>
      </c>
      <c r="D440" s="52" t="s">
        <v>1444</v>
      </c>
      <c r="E440" s="54" t="s">
        <v>1278</v>
      </c>
      <c r="F440" s="54" t="n">
        <v>3341351</v>
      </c>
      <c r="G440" s="52" t="s">
        <v>1445</v>
      </c>
      <c r="H440" s="52" t="s">
        <v>1446</v>
      </c>
      <c r="I440" s="55" t="n">
        <v>108.7</v>
      </c>
    </row>
    <row r="441" customFormat="false" ht="57.45" hidden="false" customHeight="false" outlineLevel="0" collapsed="false">
      <c r="A441" s="51" t="s">
        <v>1440</v>
      </c>
      <c r="B441" s="52" t="s">
        <v>1447</v>
      </c>
      <c r="C441" s="53" t="s">
        <v>1448</v>
      </c>
      <c r="D441" s="52" t="s">
        <v>1449</v>
      </c>
      <c r="E441" s="54" t="s">
        <v>1278</v>
      </c>
      <c r="F441" s="54" t="n">
        <v>3341351</v>
      </c>
      <c r="G441" s="52" t="s">
        <v>1450</v>
      </c>
      <c r="H441" s="52" t="s">
        <v>388</v>
      </c>
      <c r="I441" s="55" t="n">
        <v>3000</v>
      </c>
    </row>
    <row r="442" customFormat="false" ht="57.45" hidden="false" customHeight="false" outlineLevel="0" collapsed="false">
      <c r="A442" s="51" t="s">
        <v>1451</v>
      </c>
      <c r="B442" s="52" t="s">
        <v>1452</v>
      </c>
      <c r="C442" s="53" t="s">
        <v>1453</v>
      </c>
      <c r="D442" s="52" t="s">
        <v>1454</v>
      </c>
      <c r="E442" s="54" t="s">
        <v>1278</v>
      </c>
      <c r="F442" s="54" t="n">
        <v>3341351</v>
      </c>
      <c r="G442" s="52" t="s">
        <v>1380</v>
      </c>
      <c r="H442" s="52" t="s">
        <v>1381</v>
      </c>
      <c r="I442" s="55" t="n">
        <v>3729.88</v>
      </c>
    </row>
    <row r="443" customFormat="false" ht="57.45" hidden="false" customHeight="false" outlineLevel="0" collapsed="false">
      <c r="A443" s="51" t="s">
        <v>1455</v>
      </c>
      <c r="B443" s="52" t="s">
        <v>1456</v>
      </c>
      <c r="C443" s="53" t="s">
        <v>1457</v>
      </c>
      <c r="D443" s="52" t="s">
        <v>1458</v>
      </c>
      <c r="E443" s="54" t="s">
        <v>1278</v>
      </c>
      <c r="F443" s="54" t="n">
        <v>3341351</v>
      </c>
      <c r="G443" s="52" t="s">
        <v>1387</v>
      </c>
      <c r="H443" s="52" t="s">
        <v>1388</v>
      </c>
      <c r="I443" s="55" t="n">
        <v>1031.04</v>
      </c>
    </row>
    <row r="444" customFormat="false" ht="57.45" hidden="false" customHeight="false" outlineLevel="0" collapsed="false">
      <c r="A444" s="51" t="s">
        <v>1455</v>
      </c>
      <c r="B444" s="52" t="s">
        <v>1459</v>
      </c>
      <c r="C444" s="53" t="s">
        <v>1460</v>
      </c>
      <c r="D444" s="52" t="s">
        <v>601</v>
      </c>
      <c r="E444" s="54" t="s">
        <v>1278</v>
      </c>
      <c r="F444" s="54" t="n">
        <v>3341351</v>
      </c>
      <c r="G444" s="52" t="s">
        <v>1461</v>
      </c>
      <c r="H444" s="54" t="n">
        <v>35004386</v>
      </c>
      <c r="I444" s="55" t="n">
        <v>580.01</v>
      </c>
    </row>
    <row r="445" customFormat="false" ht="79.85" hidden="false" customHeight="false" outlineLevel="0" collapsed="false">
      <c r="A445" s="51" t="s">
        <v>1455</v>
      </c>
      <c r="B445" s="52" t="s">
        <v>1462</v>
      </c>
      <c r="C445" s="53" t="s">
        <v>1463</v>
      </c>
      <c r="D445" s="52" t="s">
        <v>1464</v>
      </c>
      <c r="E445" s="54" t="s">
        <v>1278</v>
      </c>
      <c r="F445" s="54" t="n">
        <v>3341351</v>
      </c>
      <c r="G445" s="52" t="s">
        <v>1465</v>
      </c>
      <c r="H445" s="54" t="n">
        <v>23359034</v>
      </c>
      <c r="I445" s="55" t="n">
        <v>1313.76</v>
      </c>
    </row>
    <row r="446" customFormat="false" ht="79.85" hidden="false" customHeight="false" outlineLevel="0" collapsed="false">
      <c r="A446" s="51" t="s">
        <v>1455</v>
      </c>
      <c r="B446" s="52" t="s">
        <v>1466</v>
      </c>
      <c r="C446" s="53" t="s">
        <v>1467</v>
      </c>
      <c r="D446" s="52" t="s">
        <v>1464</v>
      </c>
      <c r="E446" s="54" t="s">
        <v>1278</v>
      </c>
      <c r="F446" s="54" t="n">
        <v>3341351</v>
      </c>
      <c r="G446" s="52" t="s">
        <v>1465</v>
      </c>
      <c r="H446" s="54" t="n">
        <v>23359034</v>
      </c>
      <c r="I446" s="55" t="n">
        <v>1313.76</v>
      </c>
    </row>
    <row r="447" customFormat="false" ht="91" hidden="false" customHeight="false" outlineLevel="0" collapsed="false">
      <c r="A447" s="51" t="s">
        <v>1455</v>
      </c>
      <c r="B447" s="52" t="s">
        <v>1468</v>
      </c>
      <c r="C447" s="53" t="s">
        <v>1469</v>
      </c>
      <c r="D447" s="52" t="s">
        <v>1464</v>
      </c>
      <c r="E447" s="54" t="s">
        <v>1278</v>
      </c>
      <c r="F447" s="54" t="n">
        <v>3341351</v>
      </c>
      <c r="G447" s="52" t="s">
        <v>1465</v>
      </c>
      <c r="H447" s="54" t="n">
        <v>23359034</v>
      </c>
      <c r="I447" s="55" t="n">
        <v>2259.18</v>
      </c>
    </row>
    <row r="448" customFormat="false" ht="57.45" hidden="false" customHeight="false" outlineLevel="0" collapsed="false">
      <c r="A448" s="51" t="s">
        <v>1470</v>
      </c>
      <c r="B448" s="52" t="s">
        <v>1471</v>
      </c>
      <c r="C448" s="53" t="s">
        <v>1472</v>
      </c>
      <c r="D448" s="52" t="s">
        <v>1473</v>
      </c>
      <c r="E448" s="54" t="s">
        <v>1278</v>
      </c>
      <c r="F448" s="54" t="n">
        <v>3341351</v>
      </c>
      <c r="G448" s="52" t="s">
        <v>1474</v>
      </c>
      <c r="H448" s="54" t="n">
        <v>438900329</v>
      </c>
      <c r="I448" s="55" t="n">
        <v>349</v>
      </c>
    </row>
    <row r="449" customFormat="false" ht="79.85" hidden="false" customHeight="false" outlineLevel="0" collapsed="false">
      <c r="A449" s="51" t="s">
        <v>1475</v>
      </c>
      <c r="B449" s="52" t="s">
        <v>1476</v>
      </c>
      <c r="C449" s="53" t="s">
        <v>1319</v>
      </c>
      <c r="D449" s="52" t="s">
        <v>1320</v>
      </c>
      <c r="E449" s="54" t="s">
        <v>1278</v>
      </c>
      <c r="F449" s="54" t="n">
        <v>3341351</v>
      </c>
      <c r="G449" s="52" t="s">
        <v>1321</v>
      </c>
      <c r="H449" s="54" t="n">
        <v>41137353</v>
      </c>
      <c r="I449" s="55" t="n">
        <v>49000</v>
      </c>
    </row>
    <row r="450" customFormat="false" ht="57.45" hidden="false" customHeight="false" outlineLevel="0" collapsed="false">
      <c r="A450" s="51" t="s">
        <v>1475</v>
      </c>
      <c r="B450" s="52" t="s">
        <v>1477</v>
      </c>
      <c r="C450" s="53" t="s">
        <v>1478</v>
      </c>
      <c r="D450" s="52" t="s">
        <v>1306</v>
      </c>
      <c r="E450" s="54" t="s">
        <v>1278</v>
      </c>
      <c r="F450" s="54" t="n">
        <v>3341351</v>
      </c>
      <c r="G450" s="52" t="s">
        <v>1479</v>
      </c>
      <c r="H450" s="54" t="n">
        <v>2554205214</v>
      </c>
      <c r="I450" s="55" t="n">
        <v>20000</v>
      </c>
    </row>
    <row r="451" customFormat="false" ht="57.45" hidden="false" customHeight="false" outlineLevel="0" collapsed="false">
      <c r="A451" s="51" t="s">
        <v>1480</v>
      </c>
      <c r="B451" s="52" t="s">
        <v>1481</v>
      </c>
      <c r="C451" s="53" t="s">
        <v>1482</v>
      </c>
      <c r="D451" s="52" t="s">
        <v>601</v>
      </c>
      <c r="E451" s="54" t="s">
        <v>1278</v>
      </c>
      <c r="F451" s="54" t="n">
        <v>3341351</v>
      </c>
      <c r="G451" s="52" t="s">
        <v>1461</v>
      </c>
      <c r="H451" s="54" t="n">
        <v>35004386</v>
      </c>
      <c r="I451" s="55" t="n">
        <v>20000</v>
      </c>
    </row>
    <row r="452" customFormat="false" ht="57.45" hidden="false" customHeight="false" outlineLevel="0" collapsed="false">
      <c r="A452" s="51" t="s">
        <v>1483</v>
      </c>
      <c r="B452" s="52" t="s">
        <v>1484</v>
      </c>
      <c r="C452" s="53" t="s">
        <v>1485</v>
      </c>
      <c r="D452" s="52" t="s">
        <v>1486</v>
      </c>
      <c r="E452" s="54" t="s">
        <v>1278</v>
      </c>
      <c r="F452" s="54" t="n">
        <v>3341351</v>
      </c>
      <c r="G452" s="52" t="s">
        <v>1487</v>
      </c>
      <c r="H452" s="54" t="n">
        <v>37315877</v>
      </c>
      <c r="I452" s="55" t="n">
        <v>2982</v>
      </c>
    </row>
    <row r="453" customFormat="false" ht="57.45" hidden="false" customHeight="false" outlineLevel="0" collapsed="false">
      <c r="A453" s="51" t="s">
        <v>1488</v>
      </c>
      <c r="B453" s="52" t="s">
        <v>1489</v>
      </c>
      <c r="C453" s="53" t="s">
        <v>1490</v>
      </c>
      <c r="D453" s="52" t="s">
        <v>1320</v>
      </c>
      <c r="E453" s="54" t="s">
        <v>1278</v>
      </c>
      <c r="F453" s="54" t="n">
        <v>3341351</v>
      </c>
      <c r="G453" s="52" t="s">
        <v>1374</v>
      </c>
      <c r="H453" s="54" t="n">
        <v>43890029</v>
      </c>
      <c r="I453" s="55" t="n">
        <v>930</v>
      </c>
    </row>
    <row r="454" customFormat="false" ht="57.45" hidden="false" customHeight="false" outlineLevel="0" collapsed="false">
      <c r="A454" s="51" t="s">
        <v>1488</v>
      </c>
      <c r="B454" s="52" t="s">
        <v>1491</v>
      </c>
      <c r="C454" s="53" t="s">
        <v>1492</v>
      </c>
      <c r="D454" s="52" t="s">
        <v>601</v>
      </c>
      <c r="E454" s="54" t="s">
        <v>1278</v>
      </c>
      <c r="F454" s="54" t="n">
        <v>3341351</v>
      </c>
      <c r="G454" s="52" t="s">
        <v>1474</v>
      </c>
      <c r="H454" s="54" t="n">
        <v>438900329</v>
      </c>
      <c r="I454" s="55" t="n">
        <v>4899</v>
      </c>
    </row>
    <row r="455" customFormat="false" ht="57.45" hidden="false" customHeight="false" outlineLevel="0" collapsed="false">
      <c r="A455" s="51" t="s">
        <v>1493</v>
      </c>
      <c r="B455" s="52" t="s">
        <v>1494</v>
      </c>
      <c r="C455" s="53" t="s">
        <v>1495</v>
      </c>
      <c r="D455" s="52" t="s">
        <v>1306</v>
      </c>
      <c r="E455" s="54" t="s">
        <v>1278</v>
      </c>
      <c r="F455" s="54" t="n">
        <v>3341351</v>
      </c>
      <c r="G455" s="52" t="s">
        <v>1496</v>
      </c>
      <c r="H455" s="54" t="n">
        <v>31745657</v>
      </c>
      <c r="I455" s="55" t="n">
        <v>1789.99</v>
      </c>
    </row>
    <row r="456" customFormat="false" ht="57.45" hidden="false" customHeight="false" outlineLevel="0" collapsed="false">
      <c r="A456" s="51" t="s">
        <v>1497</v>
      </c>
      <c r="B456" s="52" t="s">
        <v>1498</v>
      </c>
      <c r="C456" s="53" t="s">
        <v>1499</v>
      </c>
      <c r="D456" s="52" t="s">
        <v>1500</v>
      </c>
      <c r="E456" s="54" t="s">
        <v>1278</v>
      </c>
      <c r="F456" s="54" t="n">
        <v>3341351</v>
      </c>
      <c r="G456" s="52" t="s">
        <v>1501</v>
      </c>
      <c r="H456" s="54" t="n">
        <v>40233648</v>
      </c>
      <c r="I456" s="55" t="n">
        <v>20000</v>
      </c>
    </row>
    <row r="457" customFormat="false" ht="57.45" hidden="false" customHeight="false" outlineLevel="0" collapsed="false">
      <c r="A457" s="51" t="s">
        <v>1497</v>
      </c>
      <c r="B457" s="52" t="s">
        <v>1502</v>
      </c>
      <c r="C457" s="53" t="s">
        <v>1503</v>
      </c>
      <c r="D457" s="52" t="s">
        <v>1504</v>
      </c>
      <c r="E457" s="54" t="s">
        <v>1278</v>
      </c>
      <c r="F457" s="54" t="n">
        <v>3341351</v>
      </c>
      <c r="G457" s="52" t="s">
        <v>1505</v>
      </c>
      <c r="H457" s="54" t="n">
        <v>24987175</v>
      </c>
      <c r="I457" s="55" t="n">
        <v>3120</v>
      </c>
    </row>
    <row r="458" customFormat="false" ht="57.45" hidden="false" customHeight="false" outlineLevel="0" collapsed="false">
      <c r="A458" s="51" t="s">
        <v>1506</v>
      </c>
      <c r="B458" s="52" t="s">
        <v>1507</v>
      </c>
      <c r="C458" s="53" t="s">
        <v>1508</v>
      </c>
      <c r="D458" s="52" t="s">
        <v>1314</v>
      </c>
      <c r="E458" s="54" t="s">
        <v>1278</v>
      </c>
      <c r="F458" s="54" t="n">
        <v>3341351</v>
      </c>
      <c r="G458" s="52" t="s">
        <v>1115</v>
      </c>
      <c r="H458" s="54" t="n">
        <v>2921305486</v>
      </c>
      <c r="I458" s="55" t="n">
        <v>5000</v>
      </c>
    </row>
    <row r="459" customFormat="false" ht="57.45" hidden="false" customHeight="false" outlineLevel="0" collapsed="false">
      <c r="A459" s="51" t="s">
        <v>1509</v>
      </c>
      <c r="B459" s="52" t="s">
        <v>1510</v>
      </c>
      <c r="C459" s="53" t="s">
        <v>1511</v>
      </c>
      <c r="D459" s="52" t="s">
        <v>1512</v>
      </c>
      <c r="E459" s="54" t="s">
        <v>1278</v>
      </c>
      <c r="F459" s="54" t="n">
        <v>3341351</v>
      </c>
      <c r="G459" s="52" t="s">
        <v>1513</v>
      </c>
      <c r="H459" s="54" t="n">
        <v>33542497</v>
      </c>
      <c r="I459" s="55" t="n">
        <v>7320</v>
      </c>
    </row>
    <row r="460" customFormat="false" ht="57.45" hidden="false" customHeight="false" outlineLevel="0" collapsed="false">
      <c r="A460" s="51" t="s">
        <v>1509</v>
      </c>
      <c r="B460" s="52" t="s">
        <v>1514</v>
      </c>
      <c r="C460" s="53" t="s">
        <v>1515</v>
      </c>
      <c r="D460" s="52" t="s">
        <v>1277</v>
      </c>
      <c r="E460" s="54" t="s">
        <v>1278</v>
      </c>
      <c r="F460" s="54" t="n">
        <v>3341351</v>
      </c>
      <c r="G460" s="52" t="s">
        <v>1516</v>
      </c>
      <c r="H460" s="54" t="n">
        <v>43005049</v>
      </c>
      <c r="I460" s="55" t="n">
        <v>200</v>
      </c>
    </row>
    <row r="461" customFormat="false" ht="57.45" hidden="false" customHeight="false" outlineLevel="0" collapsed="false">
      <c r="A461" s="51" t="s">
        <v>1509</v>
      </c>
      <c r="B461" s="52" t="s">
        <v>1517</v>
      </c>
      <c r="C461" s="53" t="s">
        <v>1518</v>
      </c>
      <c r="D461" s="52" t="s">
        <v>1277</v>
      </c>
      <c r="E461" s="54" t="s">
        <v>1278</v>
      </c>
      <c r="F461" s="54" t="n">
        <v>3341351</v>
      </c>
      <c r="G461" s="52" t="s">
        <v>1516</v>
      </c>
      <c r="H461" s="54" t="n">
        <v>43005049</v>
      </c>
      <c r="I461" s="55" t="n">
        <v>700</v>
      </c>
    </row>
    <row r="462" customFormat="false" ht="57.45" hidden="false" customHeight="false" outlineLevel="0" collapsed="false">
      <c r="A462" s="51" t="s">
        <v>1509</v>
      </c>
      <c r="B462" s="52" t="s">
        <v>1519</v>
      </c>
      <c r="C462" s="53" t="s">
        <v>1367</v>
      </c>
      <c r="D462" s="52" t="s">
        <v>1520</v>
      </c>
      <c r="E462" s="54" t="s">
        <v>1278</v>
      </c>
      <c r="F462" s="54" t="n">
        <v>3341351</v>
      </c>
      <c r="G462" s="52" t="s">
        <v>1369</v>
      </c>
      <c r="H462" s="52" t="s">
        <v>1370</v>
      </c>
      <c r="I462" s="55" t="n">
        <v>830</v>
      </c>
    </row>
    <row r="463" customFormat="false" ht="57.45" hidden="false" customHeight="false" outlineLevel="0" collapsed="false">
      <c r="A463" s="51" t="s">
        <v>1509</v>
      </c>
      <c r="B463" s="52" t="s">
        <v>1521</v>
      </c>
      <c r="C463" s="53" t="s">
        <v>1522</v>
      </c>
      <c r="D463" s="52" t="s">
        <v>1523</v>
      </c>
      <c r="E463" s="54" t="s">
        <v>1278</v>
      </c>
      <c r="F463" s="54" t="n">
        <v>3341351</v>
      </c>
      <c r="G463" s="52" t="s">
        <v>1524</v>
      </c>
      <c r="H463" s="54" t="n">
        <v>41375408</v>
      </c>
      <c r="I463" s="55" t="n">
        <v>12600</v>
      </c>
    </row>
    <row r="464" customFormat="false" ht="57.45" hidden="false" customHeight="false" outlineLevel="0" collapsed="false">
      <c r="A464" s="51" t="s">
        <v>1509</v>
      </c>
      <c r="B464" s="52" t="s">
        <v>1525</v>
      </c>
      <c r="C464" s="53" t="s">
        <v>1526</v>
      </c>
      <c r="D464" s="52" t="s">
        <v>1527</v>
      </c>
      <c r="E464" s="54" t="s">
        <v>1278</v>
      </c>
      <c r="F464" s="54" t="n">
        <v>3341351</v>
      </c>
      <c r="G464" s="52" t="s">
        <v>1397</v>
      </c>
      <c r="H464" s="54" t="n">
        <v>43262980</v>
      </c>
      <c r="I464" s="55" t="n">
        <v>1995</v>
      </c>
    </row>
    <row r="465" customFormat="false" ht="57.45" hidden="false" customHeight="false" outlineLevel="0" collapsed="false">
      <c r="A465" s="51" t="s">
        <v>1509</v>
      </c>
      <c r="B465" s="52" t="s">
        <v>1528</v>
      </c>
      <c r="C465" s="53" t="s">
        <v>1395</v>
      </c>
      <c r="D465" s="52" t="s">
        <v>1527</v>
      </c>
      <c r="E465" s="54" t="s">
        <v>1278</v>
      </c>
      <c r="F465" s="54" t="n">
        <v>3341351</v>
      </c>
      <c r="G465" s="52" t="s">
        <v>1397</v>
      </c>
      <c r="H465" s="54" t="n">
        <v>43262980</v>
      </c>
      <c r="I465" s="55" t="n">
        <v>318</v>
      </c>
    </row>
    <row r="466" customFormat="false" ht="57.45" hidden="false" customHeight="false" outlineLevel="0" collapsed="false">
      <c r="A466" s="51" t="s">
        <v>1529</v>
      </c>
      <c r="B466" s="52" t="s">
        <v>1530</v>
      </c>
      <c r="C466" s="53" t="s">
        <v>1531</v>
      </c>
      <c r="D466" s="52" t="s">
        <v>1532</v>
      </c>
      <c r="E466" s="54" t="s">
        <v>1278</v>
      </c>
      <c r="F466" s="54" t="n">
        <v>3341351</v>
      </c>
      <c r="G466" s="52" t="s">
        <v>1533</v>
      </c>
      <c r="H466" s="52" t="s">
        <v>1534</v>
      </c>
      <c r="I466" s="55" t="n">
        <v>48810.24</v>
      </c>
    </row>
    <row r="467" customFormat="false" ht="57.45" hidden="false" customHeight="false" outlineLevel="0" collapsed="false">
      <c r="A467" s="51" t="s">
        <v>1535</v>
      </c>
      <c r="B467" s="52" t="s">
        <v>1536</v>
      </c>
      <c r="C467" s="53" t="s">
        <v>1537</v>
      </c>
      <c r="D467" s="52" t="s">
        <v>1538</v>
      </c>
      <c r="E467" s="54" t="s">
        <v>1278</v>
      </c>
      <c r="F467" s="54" t="n">
        <v>3341351</v>
      </c>
      <c r="G467" s="52" t="s">
        <v>1539</v>
      </c>
      <c r="H467" s="54" t="n">
        <v>3124519541</v>
      </c>
      <c r="I467" s="55" t="n">
        <v>2340</v>
      </c>
    </row>
    <row r="468" customFormat="false" ht="57.45" hidden="false" customHeight="false" outlineLevel="0" collapsed="false">
      <c r="A468" s="51" t="s">
        <v>1535</v>
      </c>
      <c r="B468" s="52" t="s">
        <v>1540</v>
      </c>
      <c r="C468" s="53" t="s">
        <v>1541</v>
      </c>
      <c r="D468" s="52" t="s">
        <v>1473</v>
      </c>
      <c r="E468" s="54" t="s">
        <v>1278</v>
      </c>
      <c r="F468" s="54" t="n">
        <v>3341351</v>
      </c>
      <c r="G468" s="52" t="s">
        <v>1474</v>
      </c>
      <c r="H468" s="54" t="n">
        <v>438900329</v>
      </c>
      <c r="I468" s="55" t="n">
        <v>249</v>
      </c>
    </row>
    <row r="469" customFormat="false" ht="57.45" hidden="false" customHeight="false" outlineLevel="0" collapsed="false">
      <c r="A469" s="51" t="s">
        <v>1542</v>
      </c>
      <c r="B469" s="52" t="s">
        <v>1543</v>
      </c>
      <c r="C469" s="53" t="s">
        <v>1544</v>
      </c>
      <c r="D469" s="52" t="s">
        <v>1545</v>
      </c>
      <c r="E469" s="54" t="s">
        <v>1278</v>
      </c>
      <c r="F469" s="54" t="n">
        <v>3341351</v>
      </c>
      <c r="G469" s="52" t="s">
        <v>1546</v>
      </c>
      <c r="H469" s="52" t="s">
        <v>1547</v>
      </c>
      <c r="I469" s="55" t="n">
        <v>19645.2</v>
      </c>
    </row>
    <row r="470" customFormat="false" ht="57.45" hidden="false" customHeight="false" outlineLevel="0" collapsed="false">
      <c r="A470" s="51" t="s">
        <v>1548</v>
      </c>
      <c r="B470" s="52" t="s">
        <v>1549</v>
      </c>
      <c r="C470" s="53" t="s">
        <v>1499</v>
      </c>
      <c r="D470" s="52" t="s">
        <v>1550</v>
      </c>
      <c r="E470" s="54" t="s">
        <v>1278</v>
      </c>
      <c r="F470" s="54" t="n">
        <v>3341351</v>
      </c>
      <c r="G470" s="52" t="s">
        <v>1363</v>
      </c>
      <c r="H470" s="54" t="n">
        <v>43712939</v>
      </c>
      <c r="I470" s="55" t="n">
        <v>10000</v>
      </c>
    </row>
    <row r="471" customFormat="false" ht="57.45" hidden="false" customHeight="false" outlineLevel="0" collapsed="false">
      <c r="A471" s="51" t="s">
        <v>1548</v>
      </c>
      <c r="B471" s="52" t="s">
        <v>1551</v>
      </c>
      <c r="C471" s="53" t="s">
        <v>1552</v>
      </c>
      <c r="D471" s="52" t="s">
        <v>1553</v>
      </c>
      <c r="E471" s="54" t="s">
        <v>1278</v>
      </c>
      <c r="F471" s="54" t="n">
        <v>3341351</v>
      </c>
      <c r="G471" s="52" t="s">
        <v>1363</v>
      </c>
      <c r="H471" s="54" t="n">
        <v>43712939</v>
      </c>
      <c r="I471" s="55" t="n">
        <v>5000</v>
      </c>
    </row>
    <row r="472" customFormat="false" ht="57.45" hidden="false" customHeight="false" outlineLevel="0" collapsed="false">
      <c r="A472" s="51" t="s">
        <v>1548</v>
      </c>
      <c r="B472" s="52" t="s">
        <v>1554</v>
      </c>
      <c r="C472" s="53" t="s">
        <v>1555</v>
      </c>
      <c r="D472" s="52" t="s">
        <v>1556</v>
      </c>
      <c r="E472" s="54" t="s">
        <v>1278</v>
      </c>
      <c r="F472" s="54" t="n">
        <v>3341351</v>
      </c>
      <c r="G472" s="52" t="s">
        <v>1557</v>
      </c>
      <c r="H472" s="54" t="n">
        <v>2818809393</v>
      </c>
      <c r="I472" s="55" t="n">
        <v>3300</v>
      </c>
    </row>
    <row r="473" customFormat="false" ht="57.45" hidden="false" customHeight="false" outlineLevel="0" collapsed="false">
      <c r="A473" s="51" t="s">
        <v>1558</v>
      </c>
      <c r="B473" s="52" t="s">
        <v>1559</v>
      </c>
      <c r="C473" s="53" t="s">
        <v>1560</v>
      </c>
      <c r="D473" s="52" t="s">
        <v>1561</v>
      </c>
      <c r="E473" s="54" t="s">
        <v>1278</v>
      </c>
      <c r="F473" s="54" t="n">
        <v>3341351</v>
      </c>
      <c r="G473" s="52" t="s">
        <v>1562</v>
      </c>
      <c r="H473" s="52" t="s">
        <v>1563</v>
      </c>
      <c r="I473" s="55" t="n">
        <v>49999</v>
      </c>
    </row>
    <row r="474" customFormat="false" ht="57.45" hidden="false" customHeight="false" outlineLevel="0" collapsed="false">
      <c r="A474" s="51" t="n">
        <v>44187</v>
      </c>
      <c r="B474" s="52" t="s">
        <v>1564</v>
      </c>
      <c r="C474" s="53" t="s">
        <v>1565</v>
      </c>
      <c r="D474" s="52" t="s">
        <v>1566</v>
      </c>
      <c r="E474" s="54" t="s">
        <v>1278</v>
      </c>
      <c r="F474" s="54" t="n">
        <v>3341351</v>
      </c>
      <c r="G474" s="52" t="s">
        <v>1567</v>
      </c>
      <c r="H474" s="54" t="n">
        <v>20782312</v>
      </c>
      <c r="I474" s="55" t="n">
        <v>8090</v>
      </c>
    </row>
    <row r="475" customFormat="false" ht="57.45" hidden="false" customHeight="false" outlineLevel="0" collapsed="false">
      <c r="A475" s="51" t="n">
        <v>44187</v>
      </c>
      <c r="B475" s="52" t="s">
        <v>1568</v>
      </c>
      <c r="C475" s="53" t="s">
        <v>1569</v>
      </c>
      <c r="D475" s="52" t="s">
        <v>1570</v>
      </c>
      <c r="E475" s="54" t="s">
        <v>1278</v>
      </c>
      <c r="F475" s="54" t="n">
        <v>3341351</v>
      </c>
      <c r="G475" s="52" t="s">
        <v>1567</v>
      </c>
      <c r="H475" s="54" t="n">
        <v>20782312</v>
      </c>
      <c r="I475" s="55" t="n">
        <v>1800</v>
      </c>
    </row>
    <row r="476" customFormat="false" ht="57.45" hidden="false" customHeight="false" outlineLevel="0" collapsed="false">
      <c r="A476" s="51" t="n">
        <v>44553</v>
      </c>
      <c r="B476" s="52" t="s">
        <v>1571</v>
      </c>
      <c r="C476" s="53" t="s">
        <v>1572</v>
      </c>
      <c r="D476" s="52" t="s">
        <v>1573</v>
      </c>
      <c r="E476" s="54" t="s">
        <v>1278</v>
      </c>
      <c r="F476" s="54" t="n">
        <v>3341351</v>
      </c>
      <c r="G476" s="52" t="s">
        <v>1574</v>
      </c>
      <c r="H476" s="54" t="n">
        <v>39478904</v>
      </c>
      <c r="I476" s="55" t="n">
        <v>43617</v>
      </c>
    </row>
    <row r="477" customFormat="false" ht="57.45" hidden="false" customHeight="false" outlineLevel="0" collapsed="false">
      <c r="A477" s="51" t="n">
        <v>44553</v>
      </c>
      <c r="B477" s="52" t="s">
        <v>1575</v>
      </c>
      <c r="C477" s="53" t="s">
        <v>1576</v>
      </c>
      <c r="D477" s="52" t="s">
        <v>1577</v>
      </c>
      <c r="E477" s="54" t="s">
        <v>1278</v>
      </c>
      <c r="F477" s="54" t="n">
        <v>3341351</v>
      </c>
      <c r="G477" s="52" t="s">
        <v>1574</v>
      </c>
      <c r="H477" s="54" t="n">
        <v>39478904</v>
      </c>
      <c r="I477" s="55" t="n">
        <v>28800</v>
      </c>
    </row>
    <row r="478" customFormat="false" ht="108.95" hidden="false" customHeight="false" outlineLevel="0" collapsed="false">
      <c r="A478" s="51" t="n">
        <v>44553</v>
      </c>
      <c r="B478" s="52" t="s">
        <v>1578</v>
      </c>
      <c r="C478" s="53" t="s">
        <v>1579</v>
      </c>
      <c r="D478" s="52" t="s">
        <v>1580</v>
      </c>
      <c r="E478" s="54" t="s">
        <v>1278</v>
      </c>
      <c r="F478" s="54" t="n">
        <v>3341351</v>
      </c>
      <c r="G478" s="52" t="s">
        <v>1574</v>
      </c>
      <c r="H478" s="54" t="n">
        <v>39478904</v>
      </c>
      <c r="I478" s="55" t="n">
        <v>24794.4</v>
      </c>
    </row>
    <row r="479" customFormat="false" ht="57.45" hidden="false" customHeight="false" outlineLevel="0" collapsed="false">
      <c r="A479" s="51" t="n">
        <v>44553</v>
      </c>
      <c r="B479" s="52" t="s">
        <v>1581</v>
      </c>
      <c r="C479" s="53" t="s">
        <v>1582</v>
      </c>
      <c r="D479" s="52" t="s">
        <v>1583</v>
      </c>
      <c r="E479" s="54" t="s">
        <v>1278</v>
      </c>
      <c r="F479" s="54" t="n">
        <v>3341351</v>
      </c>
      <c r="G479" s="52" t="s">
        <v>1574</v>
      </c>
      <c r="H479" s="54" t="n">
        <v>39478904</v>
      </c>
      <c r="I479" s="55" t="n">
        <v>180</v>
      </c>
    </row>
    <row r="480" customFormat="false" ht="57.45" hidden="false" customHeight="false" outlineLevel="0" collapsed="false">
      <c r="A480" s="51" t="n">
        <v>44553</v>
      </c>
      <c r="B480" s="52" t="s">
        <v>1584</v>
      </c>
      <c r="C480" s="53" t="s">
        <v>1585</v>
      </c>
      <c r="D480" s="52" t="s">
        <v>1586</v>
      </c>
      <c r="E480" s="54" t="s">
        <v>1278</v>
      </c>
      <c r="F480" s="54" t="n">
        <v>3341351</v>
      </c>
      <c r="G480" s="52" t="s">
        <v>1574</v>
      </c>
      <c r="H480" s="54" t="n">
        <v>39478904</v>
      </c>
      <c r="I480" s="55" t="n">
        <v>571.2</v>
      </c>
    </row>
    <row r="481" customFormat="false" ht="57.45" hidden="false" customHeight="false" outlineLevel="0" collapsed="false">
      <c r="A481" s="51" t="n">
        <v>44553</v>
      </c>
      <c r="B481" s="52" t="s">
        <v>1587</v>
      </c>
      <c r="C481" s="53" t="s">
        <v>1588</v>
      </c>
      <c r="D481" s="52" t="s">
        <v>1589</v>
      </c>
      <c r="E481" s="54" t="s">
        <v>1278</v>
      </c>
      <c r="F481" s="54" t="n">
        <v>3341351</v>
      </c>
      <c r="G481" s="52" t="s">
        <v>1574</v>
      </c>
      <c r="H481" s="54" t="n">
        <v>39478904</v>
      </c>
      <c r="I481" s="55" t="n">
        <v>1501</v>
      </c>
    </row>
    <row r="482" customFormat="false" ht="57.45" hidden="false" customHeight="false" outlineLevel="0" collapsed="false">
      <c r="A482" s="51" t="n">
        <v>44553</v>
      </c>
      <c r="B482" s="52" t="s">
        <v>1590</v>
      </c>
      <c r="C482" s="53" t="s">
        <v>1591</v>
      </c>
      <c r="D482" s="52" t="s">
        <v>1500</v>
      </c>
      <c r="E482" s="54" t="s">
        <v>1278</v>
      </c>
      <c r="F482" s="54" t="n">
        <v>3341351</v>
      </c>
      <c r="G482" s="52" t="s">
        <v>1574</v>
      </c>
      <c r="H482" s="54" t="n">
        <v>39478904</v>
      </c>
      <c r="I482" s="55" t="n">
        <v>744.6</v>
      </c>
    </row>
    <row r="483" customFormat="false" ht="57.45" hidden="false" customHeight="false" outlineLevel="0" collapsed="false">
      <c r="A483" s="51" t="n">
        <v>44553</v>
      </c>
      <c r="B483" s="52" t="s">
        <v>1592</v>
      </c>
      <c r="C483" s="53" t="s">
        <v>1593</v>
      </c>
      <c r="D483" s="52" t="s">
        <v>1594</v>
      </c>
      <c r="E483" s="54" t="s">
        <v>1278</v>
      </c>
      <c r="F483" s="54" t="n">
        <v>3341351</v>
      </c>
      <c r="G483" s="52" t="s">
        <v>1574</v>
      </c>
      <c r="H483" s="54" t="n">
        <v>39478904</v>
      </c>
      <c r="I483" s="55" t="n">
        <v>540</v>
      </c>
    </row>
    <row r="484" customFormat="false" ht="57.45" hidden="false" customHeight="false" outlineLevel="0" collapsed="false">
      <c r="A484" s="51" t="n">
        <v>44553</v>
      </c>
      <c r="B484" s="52" t="s">
        <v>1595</v>
      </c>
      <c r="C484" s="53" t="s">
        <v>1596</v>
      </c>
      <c r="D484" s="52" t="s">
        <v>1597</v>
      </c>
      <c r="E484" s="54" t="s">
        <v>1278</v>
      </c>
      <c r="F484" s="54" t="n">
        <v>3341351</v>
      </c>
      <c r="G484" s="52" t="s">
        <v>1574</v>
      </c>
      <c r="H484" s="54" t="n">
        <v>39478904</v>
      </c>
      <c r="I484" s="55" t="n">
        <v>1128</v>
      </c>
    </row>
    <row r="485" customFormat="false" ht="57.45" hidden="false" customHeight="false" outlineLevel="0" collapsed="false">
      <c r="A485" s="51" t="n">
        <v>44553</v>
      </c>
      <c r="B485" s="52" t="s">
        <v>1598</v>
      </c>
      <c r="C485" s="53" t="s">
        <v>1599</v>
      </c>
      <c r="D485" s="52" t="s">
        <v>1600</v>
      </c>
      <c r="E485" s="54" t="s">
        <v>1278</v>
      </c>
      <c r="F485" s="54" t="n">
        <v>3341351</v>
      </c>
      <c r="G485" s="52" t="s">
        <v>1574</v>
      </c>
      <c r="H485" s="54" t="n">
        <v>39478904</v>
      </c>
      <c r="I485" s="55" t="n">
        <v>8524.8</v>
      </c>
    </row>
    <row r="486" customFormat="false" ht="57.45" hidden="false" customHeight="false" outlineLevel="0" collapsed="false">
      <c r="A486" s="51" t="n">
        <v>44554</v>
      </c>
      <c r="B486" s="52" t="s">
        <v>1601</v>
      </c>
      <c r="C486" s="53" t="s">
        <v>1400</v>
      </c>
      <c r="D486" s="52" t="s">
        <v>1396</v>
      </c>
      <c r="E486" s="54" t="s">
        <v>1278</v>
      </c>
      <c r="F486" s="54" t="n">
        <v>3341351</v>
      </c>
      <c r="G486" s="52" t="s">
        <v>1397</v>
      </c>
      <c r="H486" s="54" t="n">
        <v>43262980</v>
      </c>
      <c r="I486" s="55" t="n">
        <v>1680</v>
      </c>
    </row>
    <row r="487" customFormat="false" ht="57.45" hidden="false" customHeight="false" outlineLevel="0" collapsed="false">
      <c r="A487" s="51" t="n">
        <v>44554</v>
      </c>
      <c r="B487" s="52" t="s">
        <v>1602</v>
      </c>
      <c r="C487" s="53" t="s">
        <v>1395</v>
      </c>
      <c r="D487" s="52" t="s">
        <v>1396</v>
      </c>
      <c r="E487" s="54" t="s">
        <v>1278</v>
      </c>
      <c r="F487" s="54" t="n">
        <v>3341351</v>
      </c>
      <c r="G487" s="52" t="s">
        <v>1397</v>
      </c>
      <c r="H487" s="54" t="n">
        <v>43262980</v>
      </c>
      <c r="I487" s="55" t="n">
        <v>318</v>
      </c>
    </row>
    <row r="488" customFormat="false" ht="57.45" hidden="false" customHeight="false" outlineLevel="0" collapsed="false">
      <c r="A488" s="51" t="n">
        <v>44560</v>
      </c>
      <c r="B488" s="52" t="s">
        <v>1603</v>
      </c>
      <c r="C488" s="53" t="s">
        <v>1604</v>
      </c>
      <c r="D488" s="52" t="s">
        <v>1301</v>
      </c>
      <c r="E488" s="54" t="s">
        <v>1278</v>
      </c>
      <c r="F488" s="54" t="n">
        <v>3341351</v>
      </c>
      <c r="G488" s="52" t="s">
        <v>1605</v>
      </c>
      <c r="H488" s="54" t="n">
        <v>2905106693</v>
      </c>
      <c r="I488" s="55" t="n">
        <v>545</v>
      </c>
    </row>
    <row r="489" customFormat="false" ht="57.45" hidden="false" customHeight="false" outlineLevel="0" collapsed="false">
      <c r="A489" s="51" t="n">
        <v>44560</v>
      </c>
      <c r="B489" s="52" t="s">
        <v>1606</v>
      </c>
      <c r="C489" s="53" t="s">
        <v>1607</v>
      </c>
      <c r="D489" s="52" t="s">
        <v>1608</v>
      </c>
      <c r="E489" s="54" t="s">
        <v>1278</v>
      </c>
      <c r="F489" s="54" t="n">
        <v>3341351</v>
      </c>
      <c r="G489" s="52" t="s">
        <v>1609</v>
      </c>
      <c r="H489" s="54" t="n">
        <v>2680806725</v>
      </c>
      <c r="I489" s="55" t="n">
        <v>700</v>
      </c>
    </row>
    <row r="490" customFormat="false" ht="57.45" hidden="false" customHeight="false" outlineLevel="0" collapsed="false">
      <c r="A490" s="51" t="n">
        <v>44560</v>
      </c>
      <c r="B490" s="52" t="s">
        <v>1610</v>
      </c>
      <c r="C490" s="53" t="s">
        <v>1490</v>
      </c>
      <c r="D490" s="52" t="s">
        <v>1320</v>
      </c>
      <c r="E490" s="54" t="s">
        <v>1278</v>
      </c>
      <c r="F490" s="54" t="n">
        <v>3341351</v>
      </c>
      <c r="G490" s="52" t="s">
        <v>1611</v>
      </c>
      <c r="H490" s="54" t="n">
        <v>1963512742</v>
      </c>
      <c r="I490" s="55" t="n">
        <v>1101</v>
      </c>
    </row>
    <row r="491" customFormat="false" ht="57.45" hidden="false" customHeight="false" outlineLevel="0" collapsed="false">
      <c r="A491" s="57" t="n">
        <v>44510</v>
      </c>
      <c r="B491" s="30" t="str">
        <f aca="false">HYPERLINK("https://my.zakupki.prom.ua/remote/dispatcher/state_purchase_view/31645505", "UA-2021-11-10-014445-a")</f>
        <v>UA-2021-11-10-014445-a</v>
      </c>
      <c r="C491" s="31" t="s">
        <v>1612</v>
      </c>
      <c r="D491" s="31" t="s">
        <v>1613</v>
      </c>
      <c r="E491" s="31" t="s">
        <v>1614</v>
      </c>
      <c r="F491" s="31" t="s">
        <v>1615</v>
      </c>
      <c r="G491" s="31" t="s">
        <v>1616</v>
      </c>
      <c r="H491" s="31" t="s">
        <v>1617</v>
      </c>
      <c r="I491" s="33" t="n">
        <v>265.05</v>
      </c>
    </row>
    <row r="492" customFormat="false" ht="68.65" hidden="false" customHeight="false" outlineLevel="0" collapsed="false">
      <c r="A492" s="57" t="n">
        <v>44515</v>
      </c>
      <c r="B492" s="30" t="str">
        <f aca="false">HYPERLINK("https://my.zakupki.prom.ua/remote/dispatcher/state_purchase_view/31759894", "UA-2021-11-15-000385-a")</f>
        <v>UA-2021-11-15-000385-a</v>
      </c>
      <c r="C492" s="31" t="s">
        <v>1618</v>
      </c>
      <c r="D492" s="31" t="s">
        <v>495</v>
      </c>
      <c r="E492" s="31" t="s">
        <v>1614</v>
      </c>
      <c r="F492" s="31" t="s">
        <v>1615</v>
      </c>
      <c r="G492" s="31" t="s">
        <v>1619</v>
      </c>
      <c r="H492" s="31" t="s">
        <v>1620</v>
      </c>
      <c r="I492" s="33" t="n">
        <v>3178.21</v>
      </c>
    </row>
    <row r="493" customFormat="false" ht="68.65" hidden="false" customHeight="false" outlineLevel="0" collapsed="false">
      <c r="A493" s="57" t="n">
        <v>44545</v>
      </c>
      <c r="B493" s="30" t="str">
        <f aca="false">HYPERLINK("https://my.zakupki.prom.ua/remote/dispatcher/state_purchase_view/33167890", "UA-2021-12-15-018193-c")</f>
        <v>UA-2021-12-15-018193-c</v>
      </c>
      <c r="C493" s="31" t="s">
        <v>1621</v>
      </c>
      <c r="D493" s="31" t="s">
        <v>1622</v>
      </c>
      <c r="E493" s="31" t="s">
        <v>1614</v>
      </c>
      <c r="F493" s="31" t="s">
        <v>1615</v>
      </c>
      <c r="G493" s="31" t="s">
        <v>1616</v>
      </c>
      <c r="H493" s="31" t="s">
        <v>1623</v>
      </c>
      <c r="I493" s="33" t="n">
        <v>1375.34</v>
      </c>
    </row>
    <row r="494" customFormat="false" ht="46.25" hidden="false" customHeight="false" outlineLevel="0" collapsed="false">
      <c r="A494" s="57" t="n">
        <v>44523</v>
      </c>
      <c r="B494" s="30" t="str">
        <f aca="false">HYPERLINK("https://my.zakupki.prom.ua/remote/dispatcher/state_purchase_view/32112461", "UA-2021-11-23-010594-a")</f>
        <v>UA-2021-11-23-010594-a</v>
      </c>
      <c r="C494" s="31" t="s">
        <v>1624</v>
      </c>
      <c r="D494" s="31" t="s">
        <v>463</v>
      </c>
      <c r="E494" s="31" t="s">
        <v>1614</v>
      </c>
      <c r="F494" s="31" t="s">
        <v>1615</v>
      </c>
      <c r="G494" s="31" t="s">
        <v>68</v>
      </c>
      <c r="H494" s="31" t="s">
        <v>1625</v>
      </c>
      <c r="I494" s="33" t="n">
        <v>2800</v>
      </c>
    </row>
    <row r="495" customFormat="false" ht="46.25" hidden="false" customHeight="false" outlineLevel="0" collapsed="false">
      <c r="A495" s="57" t="n">
        <v>44531</v>
      </c>
      <c r="B495" s="30" t="str">
        <f aca="false">HYPERLINK("https://my.zakupki.prom.ua/remote/dispatcher/state_purchase_view/32455381", "UA-2021-12-01-012862-c")</f>
        <v>UA-2021-12-01-012862-c</v>
      </c>
      <c r="C495" s="31" t="s">
        <v>1626</v>
      </c>
      <c r="D495" s="31" t="s">
        <v>46</v>
      </c>
      <c r="E495" s="31" t="s">
        <v>1614</v>
      </c>
      <c r="F495" s="31" t="s">
        <v>1615</v>
      </c>
      <c r="G495" s="31" t="s">
        <v>1627</v>
      </c>
      <c r="H495" s="31" t="s">
        <v>1628</v>
      </c>
      <c r="I495" s="33" t="n">
        <v>49900</v>
      </c>
    </row>
    <row r="496" customFormat="false" ht="147" hidden="false" customHeight="false" outlineLevel="0" collapsed="false">
      <c r="A496" s="57" t="n">
        <v>44533</v>
      </c>
      <c r="B496" s="30" t="str">
        <f aca="false">HYPERLINK("https://my.zakupki.prom.ua/remote/dispatcher/state_purchase_view/32567435", "UA-2021-12-03-011335-c")</f>
        <v>UA-2021-12-03-011335-c</v>
      </c>
      <c r="C496" s="31" t="s">
        <v>1629</v>
      </c>
      <c r="D496" s="31" t="s">
        <v>1630</v>
      </c>
      <c r="E496" s="31" t="s">
        <v>1614</v>
      </c>
      <c r="F496" s="31" t="s">
        <v>1615</v>
      </c>
      <c r="G496" s="31" t="s">
        <v>1631</v>
      </c>
      <c r="H496" s="31" t="s">
        <v>1632</v>
      </c>
      <c r="I496" s="33" t="n">
        <v>38065.42</v>
      </c>
    </row>
    <row r="497" customFormat="false" ht="46.25" hidden="false" customHeight="false" outlineLevel="0" collapsed="false">
      <c r="A497" s="57" t="n">
        <v>44519</v>
      </c>
      <c r="B497" s="30" t="str">
        <f aca="false">HYPERLINK("https://my.zakupki.prom.ua/remote/dispatcher/state_purchase_view/32001544", "UA-2021-11-19-008163-a")</f>
        <v>UA-2021-11-19-008163-a</v>
      </c>
      <c r="C497" s="31" t="s">
        <v>1633</v>
      </c>
      <c r="D497" s="31" t="s">
        <v>311</v>
      </c>
      <c r="E497" s="31" t="s">
        <v>1614</v>
      </c>
      <c r="F497" s="31" t="s">
        <v>1615</v>
      </c>
      <c r="G497" s="31" t="s">
        <v>1634</v>
      </c>
      <c r="H497" s="31" t="s">
        <v>1635</v>
      </c>
      <c r="I497" s="33" t="n">
        <v>14870</v>
      </c>
    </row>
    <row r="498" customFormat="false" ht="57.45" hidden="false" customHeight="false" outlineLevel="0" collapsed="false">
      <c r="A498" s="57" t="n">
        <v>44508</v>
      </c>
      <c r="B498" s="30" t="str">
        <f aca="false">HYPERLINK("https://my.zakupki.prom.ua/remote/dispatcher/state_purchase_view/31548036", "UA-2021-11-08-015374-b")</f>
        <v>UA-2021-11-08-015374-b</v>
      </c>
      <c r="C498" s="31" t="s">
        <v>1636</v>
      </c>
      <c r="D498" s="31" t="s">
        <v>1613</v>
      </c>
      <c r="E498" s="31" t="s">
        <v>1614</v>
      </c>
      <c r="F498" s="31" t="s">
        <v>1615</v>
      </c>
      <c r="G498" s="31" t="s">
        <v>1616</v>
      </c>
      <c r="H498" s="31" t="s">
        <v>1637</v>
      </c>
      <c r="I498" s="33" t="n">
        <v>1883.03</v>
      </c>
    </row>
    <row r="499" customFormat="false" ht="46.25" hidden="false" customHeight="false" outlineLevel="0" collapsed="false">
      <c r="A499" s="57" t="n">
        <v>44495</v>
      </c>
      <c r="B499" s="30" t="str">
        <f aca="false">HYPERLINK("https://my.zakupki.prom.ua/remote/dispatcher/state_purchase_view/31106961", "UA-2021-10-26-002122-b")</f>
        <v>UA-2021-10-26-002122-b</v>
      </c>
      <c r="C499" s="31" t="s">
        <v>1638</v>
      </c>
      <c r="D499" s="31" t="s">
        <v>46</v>
      </c>
      <c r="E499" s="31" t="s">
        <v>1614</v>
      </c>
      <c r="F499" s="31" t="s">
        <v>1615</v>
      </c>
      <c r="G499" s="31" t="s">
        <v>1639</v>
      </c>
      <c r="H499" s="31" t="s">
        <v>1640</v>
      </c>
      <c r="I499" s="33" t="n">
        <v>16800</v>
      </c>
    </row>
    <row r="500" customFormat="false" ht="46.25" hidden="false" customHeight="false" outlineLevel="0" collapsed="false">
      <c r="A500" s="57" t="n">
        <v>44523</v>
      </c>
      <c r="B500" s="30" t="str">
        <f aca="false">HYPERLINK("https://my.zakupki.prom.ua/remote/dispatcher/state_purchase_view/32084752", "UA-2021-11-23-000739-a")</f>
        <v>UA-2021-11-23-000739-a</v>
      </c>
      <c r="C500" s="31" t="s">
        <v>1641</v>
      </c>
      <c r="D500" s="31" t="s">
        <v>1642</v>
      </c>
      <c r="E500" s="31" t="s">
        <v>1614</v>
      </c>
      <c r="F500" s="31" t="s">
        <v>1615</v>
      </c>
      <c r="G500" s="31" t="s">
        <v>1643</v>
      </c>
      <c r="H500" s="31" t="s">
        <v>1644</v>
      </c>
      <c r="I500" s="33" t="n">
        <v>2500</v>
      </c>
    </row>
    <row r="501" customFormat="false" ht="46.25" hidden="false" customHeight="false" outlineLevel="0" collapsed="false">
      <c r="A501" s="57" t="n">
        <v>44494</v>
      </c>
      <c r="B501" s="30" t="str">
        <f aca="false">HYPERLINK("https://my.zakupki.prom.ua/remote/dispatcher/state_purchase_view/31055556", "UA-2021-10-25-000520-b")</f>
        <v>UA-2021-10-25-000520-b</v>
      </c>
      <c r="C501" s="31" t="s">
        <v>1645</v>
      </c>
      <c r="D501" s="31" t="s">
        <v>1642</v>
      </c>
      <c r="E501" s="31" t="s">
        <v>1614</v>
      </c>
      <c r="F501" s="31" t="s">
        <v>1615</v>
      </c>
      <c r="G501" s="31" t="s">
        <v>1646</v>
      </c>
      <c r="H501" s="31" t="s">
        <v>1647</v>
      </c>
      <c r="I501" s="33" t="n">
        <v>13388</v>
      </c>
    </row>
    <row r="502" customFormat="false" ht="169.4" hidden="false" customHeight="false" outlineLevel="0" collapsed="false">
      <c r="A502" s="57" t="n">
        <v>44477</v>
      </c>
      <c r="B502" s="30" t="str">
        <f aca="false">HYPERLINK("https://my.zakupki.prom.ua/remote/dispatcher/state_purchase_view/30605665", "UA-2021-10-08-000510-b")</f>
        <v>UA-2021-10-08-000510-b</v>
      </c>
      <c r="C502" s="31" t="s">
        <v>1648</v>
      </c>
      <c r="D502" s="31" t="s">
        <v>1649</v>
      </c>
      <c r="E502" s="31" t="s">
        <v>1614</v>
      </c>
      <c r="F502" s="31" t="s">
        <v>1615</v>
      </c>
      <c r="G502" s="31" t="s">
        <v>1650</v>
      </c>
      <c r="H502" s="31" t="s">
        <v>1651</v>
      </c>
      <c r="I502" s="33" t="n">
        <v>849.6</v>
      </c>
    </row>
    <row r="503" customFormat="false" ht="46.25" hidden="false" customHeight="false" outlineLevel="0" collapsed="false">
      <c r="A503" s="57" t="n">
        <v>44531</v>
      </c>
      <c r="B503" s="30" t="str">
        <f aca="false">HYPERLINK("https://my.zakupki.prom.ua/remote/dispatcher/state_purchase_view/32451138", "UA-2021-12-01-011713-c")</f>
        <v>UA-2021-12-01-011713-c</v>
      </c>
      <c r="C503" s="31" t="s">
        <v>1652</v>
      </c>
      <c r="D503" s="31" t="s">
        <v>333</v>
      </c>
      <c r="E503" s="31" t="s">
        <v>1614</v>
      </c>
      <c r="F503" s="31" t="s">
        <v>1615</v>
      </c>
      <c r="G503" s="31" t="s">
        <v>1653</v>
      </c>
      <c r="H503" s="31" t="s">
        <v>1654</v>
      </c>
      <c r="I503" s="33" t="n">
        <v>25100</v>
      </c>
    </row>
    <row r="504" customFormat="false" ht="68.65" hidden="false" customHeight="false" outlineLevel="0" collapsed="false">
      <c r="A504" s="57" t="n">
        <v>44543</v>
      </c>
      <c r="B504" s="30" t="str">
        <f aca="false">HYPERLINK("https://my.zakupki.prom.ua/remote/dispatcher/state_purchase_view/32974935", "UA-2021-12-13-005493-c")</f>
        <v>UA-2021-12-13-005493-c</v>
      </c>
      <c r="C504" s="31" t="s">
        <v>1655</v>
      </c>
      <c r="D504" s="31" t="s">
        <v>1622</v>
      </c>
      <c r="E504" s="31" t="s">
        <v>1614</v>
      </c>
      <c r="F504" s="31" t="s">
        <v>1615</v>
      </c>
      <c r="G504" s="31" t="s">
        <v>1616</v>
      </c>
      <c r="H504" s="31" t="s">
        <v>1656</v>
      </c>
      <c r="I504" s="33" t="n">
        <v>6857.78</v>
      </c>
    </row>
    <row r="505" customFormat="false" ht="46.25" hidden="false" customHeight="false" outlineLevel="0" collapsed="false">
      <c r="A505" s="57" t="n">
        <v>44473</v>
      </c>
      <c r="B505" s="30" t="str">
        <f aca="false">HYPERLINK("https://my.zakupki.prom.ua/remote/dispatcher/state_purchase_view/30432784", "UA-2021-10-04-001548-b")</f>
        <v>UA-2021-10-04-001548-b</v>
      </c>
      <c r="C505" s="31" t="s">
        <v>1657</v>
      </c>
      <c r="D505" s="31" t="s">
        <v>495</v>
      </c>
      <c r="E505" s="31" t="s">
        <v>1614</v>
      </c>
      <c r="F505" s="31" t="s">
        <v>1615</v>
      </c>
      <c r="G505" s="31" t="s">
        <v>1616</v>
      </c>
      <c r="H505" s="31" t="s">
        <v>1658</v>
      </c>
      <c r="I505" s="33" t="n">
        <v>33118.2</v>
      </c>
    </row>
    <row r="506" customFormat="false" ht="68.65" hidden="false" customHeight="false" outlineLevel="0" collapsed="false">
      <c r="A506" s="57" t="n">
        <v>44550</v>
      </c>
      <c r="B506" s="30" t="str">
        <f aca="false">HYPERLINK("https://my.zakupki.prom.ua/remote/dispatcher/state_purchase_view/33389915", "UA-2021-12-20-009692-c")</f>
        <v>UA-2021-12-20-009692-c</v>
      </c>
      <c r="C506" s="31" t="s">
        <v>1659</v>
      </c>
      <c r="D506" s="31" t="s">
        <v>1613</v>
      </c>
      <c r="E506" s="31" t="s">
        <v>1614</v>
      </c>
      <c r="F506" s="31" t="s">
        <v>1615</v>
      </c>
      <c r="G506" s="31" t="s">
        <v>1660</v>
      </c>
      <c r="H506" s="31" t="s">
        <v>1661</v>
      </c>
      <c r="I506" s="33" t="n">
        <v>24225</v>
      </c>
    </row>
    <row r="507" customFormat="false" ht="46.25" hidden="false" customHeight="false" outlineLevel="0" collapsed="false">
      <c r="A507" s="57" t="n">
        <v>44519</v>
      </c>
      <c r="B507" s="30" t="str">
        <f aca="false">HYPERLINK("https://my.zakupki.prom.ua/remote/dispatcher/state_purchase_view/31982934", "UA-2021-11-19-002969-a")</f>
        <v>UA-2021-11-19-002969-a</v>
      </c>
      <c r="C507" s="31" t="s">
        <v>1662</v>
      </c>
      <c r="D507" s="31" t="s">
        <v>1663</v>
      </c>
      <c r="E507" s="31" t="s">
        <v>1614</v>
      </c>
      <c r="F507" s="31" t="s">
        <v>1615</v>
      </c>
      <c r="G507" s="31" t="s">
        <v>1634</v>
      </c>
      <c r="H507" s="31" t="s">
        <v>1664</v>
      </c>
      <c r="I507" s="33" t="n">
        <v>9230</v>
      </c>
    </row>
    <row r="508" customFormat="false" ht="46.25" hidden="false" customHeight="false" outlineLevel="0" collapsed="false">
      <c r="A508" s="57" t="n">
        <v>44525</v>
      </c>
      <c r="B508" s="30" t="str">
        <f aca="false">HYPERLINK("https://my.zakupki.prom.ua/remote/dispatcher/state_purchase_view/32222070", "UA-2021-11-25-007357-a")</f>
        <v>UA-2021-11-25-007357-a</v>
      </c>
      <c r="C508" s="31" t="s">
        <v>1665</v>
      </c>
      <c r="D508" s="31" t="s">
        <v>345</v>
      </c>
      <c r="E508" s="31" t="s">
        <v>1614</v>
      </c>
      <c r="F508" s="31" t="s">
        <v>1615</v>
      </c>
      <c r="G508" s="31" t="s">
        <v>1666</v>
      </c>
      <c r="H508" s="31" t="s">
        <v>1667</v>
      </c>
      <c r="I508" s="33" t="n">
        <v>3200</v>
      </c>
    </row>
    <row r="509" customFormat="false" ht="46.25" hidden="false" customHeight="false" outlineLevel="0" collapsed="false">
      <c r="A509" s="57" t="n">
        <v>44523</v>
      </c>
      <c r="B509" s="30" t="str">
        <f aca="false">HYPERLINK("https://my.zakupki.prom.ua/remote/dispatcher/state_purchase_view/32085024", "UA-2021-11-23-000871-a")</f>
        <v>UA-2021-11-23-000871-a</v>
      </c>
      <c r="C509" s="31" t="s">
        <v>1668</v>
      </c>
      <c r="D509" s="31" t="s">
        <v>1642</v>
      </c>
      <c r="E509" s="31" t="s">
        <v>1614</v>
      </c>
      <c r="F509" s="31" t="s">
        <v>1615</v>
      </c>
      <c r="G509" s="31" t="s">
        <v>1646</v>
      </c>
      <c r="H509" s="31" t="s">
        <v>1669</v>
      </c>
      <c r="I509" s="33" t="n">
        <v>2975</v>
      </c>
    </row>
    <row r="510" customFormat="false" ht="46.25" hidden="false" customHeight="false" outlineLevel="0" collapsed="false">
      <c r="A510" s="57" t="n">
        <v>44519</v>
      </c>
      <c r="B510" s="30" t="str">
        <f aca="false">HYPERLINK("https://my.zakupki.prom.ua/remote/dispatcher/state_purchase_view/31997531", "UA-2021-11-19-006920-a")</f>
        <v>UA-2021-11-19-006920-a</v>
      </c>
      <c r="C510" s="31" t="s">
        <v>1670</v>
      </c>
      <c r="D510" s="31" t="s">
        <v>463</v>
      </c>
      <c r="E510" s="31" t="s">
        <v>1614</v>
      </c>
      <c r="F510" s="31" t="s">
        <v>1615</v>
      </c>
      <c r="G510" s="31" t="s">
        <v>1671</v>
      </c>
      <c r="H510" s="31" t="s">
        <v>1672</v>
      </c>
      <c r="I510" s="33" t="n">
        <v>969</v>
      </c>
    </row>
    <row r="511" customFormat="false" ht="46.25" hidden="false" customHeight="false" outlineLevel="0" collapsed="false">
      <c r="A511" s="57" t="n">
        <v>44512</v>
      </c>
      <c r="B511" s="30" t="str">
        <f aca="false">HYPERLINK("https://my.zakupki.prom.ua/remote/dispatcher/state_purchase_view/31716738", "UA-2021-11-12-003632-a")</f>
        <v>UA-2021-11-12-003632-a</v>
      </c>
      <c r="C511" s="31" t="s">
        <v>1673</v>
      </c>
      <c r="D511" s="31" t="s">
        <v>1674</v>
      </c>
      <c r="E511" s="31" t="s">
        <v>1614</v>
      </c>
      <c r="F511" s="31" t="s">
        <v>1615</v>
      </c>
      <c r="G511" s="31" t="s">
        <v>1675</v>
      </c>
      <c r="H511" s="31" t="s">
        <v>1676</v>
      </c>
      <c r="I511" s="33" t="n">
        <v>12100</v>
      </c>
    </row>
    <row r="512" customFormat="false" ht="46.25" hidden="false" customHeight="false" outlineLevel="0" collapsed="false">
      <c r="A512" s="57" t="n">
        <v>44511</v>
      </c>
      <c r="B512" s="30" t="str">
        <f aca="false">HYPERLINK("https://my.zakupki.prom.ua/remote/dispatcher/state_purchase_view/31657069", "UA-2021-11-11-000655-a")</f>
        <v>UA-2021-11-11-000655-a</v>
      </c>
      <c r="C512" s="31" t="s">
        <v>1677</v>
      </c>
      <c r="D512" s="31" t="s">
        <v>1642</v>
      </c>
      <c r="E512" s="31" t="s">
        <v>1614</v>
      </c>
      <c r="F512" s="31" t="s">
        <v>1615</v>
      </c>
      <c r="G512" s="31" t="s">
        <v>1646</v>
      </c>
      <c r="H512" s="31" t="s">
        <v>1678</v>
      </c>
      <c r="I512" s="33" t="n">
        <v>2897</v>
      </c>
    </row>
    <row r="513" customFormat="false" ht="57.45" hidden="false" customHeight="false" outlineLevel="0" collapsed="false">
      <c r="A513" s="57" t="n">
        <v>44536</v>
      </c>
      <c r="B513" s="30" t="str">
        <f aca="false">HYPERLINK("https://my.zakupki.prom.ua/remote/dispatcher/state_purchase_view/32608345", "UA-2021-12-06-003649-c")</f>
        <v>UA-2021-12-06-003649-c</v>
      </c>
      <c r="C513" s="31" t="s">
        <v>1679</v>
      </c>
      <c r="D513" s="31" t="s">
        <v>1680</v>
      </c>
      <c r="E513" s="31" t="s">
        <v>1614</v>
      </c>
      <c r="F513" s="31" t="s">
        <v>1615</v>
      </c>
      <c r="G513" s="31" t="s">
        <v>1616</v>
      </c>
      <c r="H513" s="31" t="s">
        <v>1681</v>
      </c>
      <c r="I513" s="33" t="n">
        <v>1176.11</v>
      </c>
    </row>
    <row r="514" customFormat="false" ht="46.25" hidden="false" customHeight="false" outlineLevel="0" collapsed="false">
      <c r="A514" s="57" t="n">
        <v>44546</v>
      </c>
      <c r="B514" s="30" t="str">
        <f aca="false">HYPERLINK("https://my.zakupki.prom.ua/remote/dispatcher/state_purchase_view/33235554", "UA-2021-12-16-014253-c")</f>
        <v>UA-2021-12-16-014253-c</v>
      </c>
      <c r="C514" s="31" t="s">
        <v>1682</v>
      </c>
      <c r="D514" s="31" t="s">
        <v>1262</v>
      </c>
      <c r="E514" s="31" t="s">
        <v>1614</v>
      </c>
      <c r="F514" s="31" t="s">
        <v>1615</v>
      </c>
      <c r="G514" s="31" t="s">
        <v>1683</v>
      </c>
      <c r="H514" s="31" t="s">
        <v>1684</v>
      </c>
      <c r="I514" s="33" t="n">
        <v>493</v>
      </c>
    </row>
    <row r="515" customFormat="false" ht="57.45" hidden="false" customHeight="false" outlineLevel="0" collapsed="false">
      <c r="A515" s="57" t="n">
        <v>44547</v>
      </c>
      <c r="B515" s="30" t="str">
        <f aca="false">HYPERLINK("https://my.zakupki.prom.ua/remote/dispatcher/state_purchase_view/33314996", "UA-2021-12-17-013593-c")</f>
        <v>UA-2021-12-17-013593-c</v>
      </c>
      <c r="C515" s="31" t="s">
        <v>1685</v>
      </c>
      <c r="D515" s="31" t="s">
        <v>1622</v>
      </c>
      <c r="E515" s="31" t="s">
        <v>1614</v>
      </c>
      <c r="F515" s="31" t="s">
        <v>1615</v>
      </c>
      <c r="G515" s="31" t="s">
        <v>1616</v>
      </c>
      <c r="H515" s="31" t="s">
        <v>1686</v>
      </c>
      <c r="I515" s="33" t="n">
        <v>15451.88</v>
      </c>
    </row>
    <row r="516" customFormat="false" ht="57.45" hidden="false" customHeight="false" outlineLevel="0" collapsed="false">
      <c r="A516" s="57" t="n">
        <v>44545</v>
      </c>
      <c r="B516" s="30" t="str">
        <f aca="false">HYPERLINK("https://my.zakupki.prom.ua/remote/dispatcher/state_purchase_view/33163272", "UA-2021-12-15-017121-c")</f>
        <v>UA-2021-12-15-017121-c</v>
      </c>
      <c r="C516" s="31" t="s">
        <v>1687</v>
      </c>
      <c r="D516" s="31" t="s">
        <v>1613</v>
      </c>
      <c r="E516" s="31" t="s">
        <v>1614</v>
      </c>
      <c r="F516" s="31" t="s">
        <v>1615</v>
      </c>
      <c r="G516" s="31" t="s">
        <v>1616</v>
      </c>
      <c r="H516" s="31" t="s">
        <v>1688</v>
      </c>
      <c r="I516" s="33" t="n">
        <v>1376.17</v>
      </c>
    </row>
    <row r="517" customFormat="false" ht="57.45" hidden="false" customHeight="false" outlineLevel="0" collapsed="false">
      <c r="A517" s="57" t="n">
        <v>44511</v>
      </c>
      <c r="B517" s="30" t="str">
        <f aca="false">HYPERLINK("https://my.zakupki.prom.ua/remote/dispatcher/state_purchase_view/31662677", "UA-2021-11-11-002575-a")</f>
        <v>UA-2021-11-11-002575-a</v>
      </c>
      <c r="C517" s="31" t="s">
        <v>1689</v>
      </c>
      <c r="D517" s="31" t="s">
        <v>1613</v>
      </c>
      <c r="E517" s="31" t="s">
        <v>1614</v>
      </c>
      <c r="F517" s="31" t="s">
        <v>1615</v>
      </c>
      <c r="G517" s="31" t="s">
        <v>1616</v>
      </c>
      <c r="H517" s="31" t="s">
        <v>1690</v>
      </c>
      <c r="I517" s="33" t="n">
        <v>788.37</v>
      </c>
    </row>
    <row r="518" customFormat="false" ht="46.25" hidden="false" customHeight="false" outlineLevel="0" collapsed="false">
      <c r="A518" s="57" t="n">
        <v>44475</v>
      </c>
      <c r="B518" s="30" t="str">
        <f aca="false">HYPERLINK("https://my.zakupki.prom.ua/remote/dispatcher/state_purchase_view/30517121", "UA-2021-10-06-001674-b")</f>
        <v>UA-2021-10-06-001674-b</v>
      </c>
      <c r="C518" s="31" t="s">
        <v>1691</v>
      </c>
      <c r="D518" s="31" t="s">
        <v>218</v>
      </c>
      <c r="E518" s="31" t="s">
        <v>1614</v>
      </c>
      <c r="F518" s="31" t="s">
        <v>1615</v>
      </c>
      <c r="G518" s="31" t="s">
        <v>27</v>
      </c>
      <c r="H518" s="31" t="s">
        <v>1692</v>
      </c>
      <c r="I518" s="33" t="n">
        <v>354</v>
      </c>
    </row>
    <row r="519" customFormat="false" ht="57.45" hidden="false" customHeight="false" outlineLevel="0" collapsed="false">
      <c r="A519" s="57" t="n">
        <v>44515</v>
      </c>
      <c r="B519" s="30" t="str">
        <f aca="false">HYPERLINK("https://my.zakupki.prom.ua/remote/dispatcher/state_purchase_view/31767400", "UA-2021-11-15-002974-a")</f>
        <v>UA-2021-11-15-002974-a</v>
      </c>
      <c r="C519" s="31" t="s">
        <v>1693</v>
      </c>
      <c r="D519" s="31" t="s">
        <v>1622</v>
      </c>
      <c r="E519" s="31" t="s">
        <v>1614</v>
      </c>
      <c r="F519" s="31" t="s">
        <v>1615</v>
      </c>
      <c r="G519" s="31" t="s">
        <v>1616</v>
      </c>
      <c r="H519" s="31" t="s">
        <v>1694</v>
      </c>
      <c r="I519" s="33" t="n">
        <v>746.71</v>
      </c>
    </row>
    <row r="520" customFormat="false" ht="57.45" hidden="false" customHeight="false" outlineLevel="0" collapsed="false">
      <c r="A520" s="57" t="n">
        <v>44515</v>
      </c>
      <c r="B520" s="30" t="str">
        <f aca="false">HYPERLINK("https://my.zakupki.prom.ua/remote/dispatcher/state_purchase_view/31769181", "UA-2021-11-15-003581-a")</f>
        <v>UA-2021-11-15-003581-a</v>
      </c>
      <c r="C520" s="31" t="s">
        <v>1695</v>
      </c>
      <c r="D520" s="31" t="s">
        <v>1622</v>
      </c>
      <c r="E520" s="31" t="s">
        <v>1614</v>
      </c>
      <c r="F520" s="31" t="s">
        <v>1615</v>
      </c>
      <c r="G520" s="31" t="s">
        <v>1616</v>
      </c>
      <c r="H520" s="31" t="s">
        <v>1696</v>
      </c>
      <c r="I520" s="33" t="n">
        <v>3621.03</v>
      </c>
    </row>
    <row r="521" customFormat="false" ht="68.65" hidden="false" customHeight="false" outlineLevel="0" collapsed="false">
      <c r="A521" s="57" t="n">
        <v>44537</v>
      </c>
      <c r="B521" s="30" t="str">
        <f aca="false">HYPERLINK("https://my.zakupki.prom.ua/remote/dispatcher/state_purchase_view/32708657", "UA-2021-12-07-012884-c")</f>
        <v>UA-2021-12-07-012884-c</v>
      </c>
      <c r="C521" s="31" t="s">
        <v>1697</v>
      </c>
      <c r="D521" s="31" t="s">
        <v>1613</v>
      </c>
      <c r="E521" s="31" t="s">
        <v>1614</v>
      </c>
      <c r="F521" s="31" t="s">
        <v>1615</v>
      </c>
      <c r="G521" s="31" t="s">
        <v>1616</v>
      </c>
      <c r="H521" s="31" t="s">
        <v>1698</v>
      </c>
      <c r="I521" s="33" t="n">
        <v>7657.26</v>
      </c>
    </row>
    <row r="522" customFormat="false" ht="79.85" hidden="false" customHeight="false" outlineLevel="0" collapsed="false">
      <c r="A522" s="57" t="n">
        <v>44537</v>
      </c>
      <c r="B522" s="30" t="str">
        <f aca="false">HYPERLINK("https://my.zakupki.prom.ua/remote/dispatcher/state_purchase_view/32711544", "UA-2021-12-07-013795-c")</f>
        <v>UA-2021-12-07-013795-c</v>
      </c>
      <c r="C522" s="31" t="s">
        <v>1699</v>
      </c>
      <c r="D522" s="31" t="s">
        <v>1700</v>
      </c>
      <c r="E522" s="31" t="s">
        <v>1614</v>
      </c>
      <c r="F522" s="31" t="s">
        <v>1615</v>
      </c>
      <c r="G522" s="31" t="s">
        <v>1616</v>
      </c>
      <c r="H522" s="31" t="s">
        <v>1701</v>
      </c>
      <c r="I522" s="33" t="n">
        <v>30968.21</v>
      </c>
    </row>
    <row r="523" customFormat="false" ht="57.45" hidden="false" customHeight="false" outlineLevel="0" collapsed="false">
      <c r="A523" s="57" t="n">
        <v>44532</v>
      </c>
      <c r="B523" s="30" t="str">
        <f aca="false">HYPERLINK("https://my.zakupki.prom.ua/remote/dispatcher/state_purchase_view/32504462", "UA-2021-12-02-010578-c")</f>
        <v>UA-2021-12-02-010578-c</v>
      </c>
      <c r="C523" s="31" t="s">
        <v>1702</v>
      </c>
      <c r="D523" s="31" t="s">
        <v>495</v>
      </c>
      <c r="E523" s="31" t="s">
        <v>1614</v>
      </c>
      <c r="F523" s="31" t="s">
        <v>1615</v>
      </c>
      <c r="G523" s="31" t="s">
        <v>1616</v>
      </c>
      <c r="H523" s="31" t="s">
        <v>1703</v>
      </c>
      <c r="I523" s="33" t="n">
        <v>768.03</v>
      </c>
    </row>
    <row r="524" customFormat="false" ht="68.65" hidden="false" customHeight="false" outlineLevel="0" collapsed="false">
      <c r="A524" s="57" t="n">
        <v>44547</v>
      </c>
      <c r="B524" s="30" t="str">
        <f aca="false">HYPERLINK("https://my.zakupki.prom.ua/remote/dispatcher/state_purchase_view/33316074", "UA-2021-12-17-013908-c")</f>
        <v>UA-2021-12-17-013908-c</v>
      </c>
      <c r="C524" s="31" t="s">
        <v>1704</v>
      </c>
      <c r="D524" s="31" t="s">
        <v>1622</v>
      </c>
      <c r="E524" s="31" t="s">
        <v>1614</v>
      </c>
      <c r="F524" s="31" t="s">
        <v>1615</v>
      </c>
      <c r="G524" s="31" t="s">
        <v>1616</v>
      </c>
      <c r="H524" s="31" t="s">
        <v>1705</v>
      </c>
      <c r="I524" s="33" t="n">
        <v>36713.93</v>
      </c>
    </row>
    <row r="525" customFormat="false" ht="79.85" hidden="false" customHeight="false" outlineLevel="0" collapsed="false">
      <c r="A525" s="57" t="n">
        <v>44524</v>
      </c>
      <c r="B525" s="30" t="str">
        <f aca="false">HYPERLINK("https://my.zakupki.prom.ua/remote/dispatcher/state_purchase_view/32139294", "UA-2021-11-24-000290-a")</f>
        <v>UA-2021-11-24-000290-a</v>
      </c>
      <c r="C525" s="31" t="s">
        <v>1706</v>
      </c>
      <c r="D525" s="31" t="s">
        <v>269</v>
      </c>
      <c r="E525" s="31" t="s">
        <v>1614</v>
      </c>
      <c r="F525" s="31" t="s">
        <v>1615</v>
      </c>
      <c r="G525" s="31" t="s">
        <v>1707</v>
      </c>
      <c r="H525" s="31" t="s">
        <v>1708</v>
      </c>
      <c r="I525" s="33" t="n">
        <v>5880</v>
      </c>
    </row>
    <row r="526" customFormat="false" ht="57.45" hidden="false" customHeight="false" outlineLevel="0" collapsed="false">
      <c r="A526" s="57" t="n">
        <v>44508</v>
      </c>
      <c r="B526" s="30" t="str">
        <f aca="false">HYPERLINK("https://my.zakupki.prom.ua/remote/dispatcher/state_purchase_view/31525193", "UA-2021-11-08-007312-b")</f>
        <v>UA-2021-11-08-007312-b</v>
      </c>
      <c r="C526" s="31" t="s">
        <v>1709</v>
      </c>
      <c r="D526" s="31" t="s">
        <v>1710</v>
      </c>
      <c r="E526" s="31" t="s">
        <v>1614</v>
      </c>
      <c r="F526" s="31" t="s">
        <v>1615</v>
      </c>
      <c r="G526" s="31" t="s">
        <v>1616</v>
      </c>
      <c r="H526" s="31" t="s">
        <v>1711</v>
      </c>
      <c r="I526" s="33" t="n">
        <v>572.62</v>
      </c>
    </row>
    <row r="527" customFormat="false" ht="46.25" hidden="false" customHeight="false" outlineLevel="0" collapsed="false">
      <c r="A527" s="57" t="n">
        <v>44531</v>
      </c>
      <c r="B527" s="30" t="str">
        <f aca="false">HYPERLINK("https://my.zakupki.prom.ua/remote/dispatcher/state_purchase_view/32412670", "UA-2021-12-01-000824-c")</f>
        <v>UA-2021-12-01-000824-c</v>
      </c>
      <c r="C527" s="31" t="s">
        <v>1712</v>
      </c>
      <c r="D527" s="31" t="s">
        <v>1713</v>
      </c>
      <c r="E527" s="31" t="s">
        <v>1614</v>
      </c>
      <c r="F527" s="31" t="s">
        <v>1615</v>
      </c>
      <c r="G527" s="31" t="s">
        <v>1714</v>
      </c>
      <c r="H527" s="31" t="s">
        <v>1715</v>
      </c>
      <c r="I527" s="33" t="n">
        <v>5550</v>
      </c>
    </row>
    <row r="528" customFormat="false" ht="57.45" hidden="false" customHeight="false" outlineLevel="0" collapsed="false">
      <c r="A528" s="57" t="n">
        <v>44539</v>
      </c>
      <c r="B528" s="30" t="str">
        <f aca="false">HYPERLINK("https://my.zakupki.prom.ua/remote/dispatcher/state_purchase_view/32858113", "UA-2021-12-09-015594-c")</f>
        <v>UA-2021-12-09-015594-c</v>
      </c>
      <c r="C528" s="31" t="s">
        <v>1716</v>
      </c>
      <c r="D528" s="31" t="s">
        <v>1613</v>
      </c>
      <c r="E528" s="31" t="s">
        <v>1614</v>
      </c>
      <c r="F528" s="31" t="s">
        <v>1615</v>
      </c>
      <c r="G528" s="31" t="s">
        <v>1616</v>
      </c>
      <c r="H528" s="31" t="s">
        <v>1717</v>
      </c>
      <c r="I528" s="33" t="n">
        <v>1122.8</v>
      </c>
    </row>
    <row r="529" customFormat="false" ht="46.25" hidden="false" customHeight="false" outlineLevel="0" collapsed="false">
      <c r="A529" s="57" t="n">
        <v>44543</v>
      </c>
      <c r="B529" s="30" t="str">
        <f aca="false">HYPERLINK("https://my.zakupki.prom.ua/remote/dispatcher/state_purchase_view/32977207", "UA-2021-12-13-006129-c")</f>
        <v>UA-2021-12-13-006129-c</v>
      </c>
      <c r="C529" s="31" t="s">
        <v>1718</v>
      </c>
      <c r="D529" s="31" t="s">
        <v>46</v>
      </c>
      <c r="E529" s="31" t="s">
        <v>1614</v>
      </c>
      <c r="F529" s="31" t="s">
        <v>1615</v>
      </c>
      <c r="G529" s="31" t="s">
        <v>1653</v>
      </c>
      <c r="H529" s="31" t="s">
        <v>1719</v>
      </c>
      <c r="I529" s="33" t="n">
        <v>1380</v>
      </c>
    </row>
    <row r="530" customFormat="false" ht="57.45" hidden="false" customHeight="false" outlineLevel="0" collapsed="false">
      <c r="A530" s="57" t="n">
        <v>44551</v>
      </c>
      <c r="B530" s="30" t="str">
        <f aca="false">HYPERLINK("https://my.zakupki.prom.ua/remote/dispatcher/state_purchase_view/33471340", "UA-2021-12-21-010478-c")</f>
        <v>UA-2021-12-21-010478-c</v>
      </c>
      <c r="C530" s="31" t="s">
        <v>1720</v>
      </c>
      <c r="D530" s="31" t="s">
        <v>1613</v>
      </c>
      <c r="E530" s="31" t="s">
        <v>1614</v>
      </c>
      <c r="F530" s="31" t="s">
        <v>1615</v>
      </c>
      <c r="G530" s="31" t="s">
        <v>1616</v>
      </c>
      <c r="H530" s="31" t="s">
        <v>1721</v>
      </c>
      <c r="I530" s="33" t="n">
        <v>1385.16</v>
      </c>
    </row>
    <row r="531" customFormat="false" ht="46.25" hidden="false" customHeight="false" outlineLevel="0" collapsed="false">
      <c r="A531" s="57" t="n">
        <v>44489</v>
      </c>
      <c r="B531" s="30" t="str">
        <f aca="false">HYPERLINK("https://my.zakupki.prom.ua/remote/dispatcher/state_purchase_view/30895045", "UA-2021-10-20-002196-b")</f>
        <v>UA-2021-10-20-002196-b</v>
      </c>
      <c r="C531" s="31" t="s">
        <v>1722</v>
      </c>
      <c r="D531" s="31" t="s">
        <v>251</v>
      </c>
      <c r="E531" s="31" t="s">
        <v>1614</v>
      </c>
      <c r="F531" s="31" t="s">
        <v>1615</v>
      </c>
      <c r="G531" s="31" t="s">
        <v>1723</v>
      </c>
      <c r="H531" s="31" t="s">
        <v>1724</v>
      </c>
      <c r="I531" s="33" t="n">
        <v>500</v>
      </c>
    </row>
    <row r="532" customFormat="false" ht="46.25" hidden="false" customHeight="false" outlineLevel="0" collapsed="false">
      <c r="A532" s="57" t="n">
        <v>44519</v>
      </c>
      <c r="B532" s="30" t="str">
        <f aca="false">HYPERLINK("https://my.zakupki.prom.ua/remote/dispatcher/state_purchase_view/31998273", "UA-2021-11-19-007112-a")</f>
        <v>UA-2021-11-19-007112-a</v>
      </c>
      <c r="C532" s="31" t="s">
        <v>1725</v>
      </c>
      <c r="D532" s="31" t="s">
        <v>1726</v>
      </c>
      <c r="E532" s="31" t="s">
        <v>1614</v>
      </c>
      <c r="F532" s="31" t="s">
        <v>1615</v>
      </c>
      <c r="G532" s="31" t="s">
        <v>397</v>
      </c>
      <c r="H532" s="31" t="s">
        <v>1727</v>
      </c>
      <c r="I532" s="33" t="n">
        <v>1754</v>
      </c>
    </row>
    <row r="533" customFormat="false" ht="46.25" hidden="false" customHeight="false" outlineLevel="0" collapsed="false">
      <c r="A533" s="57" t="n">
        <v>44522</v>
      </c>
      <c r="B533" s="30" t="str">
        <f aca="false">HYPERLINK("https://my.zakupki.prom.ua/remote/dispatcher/state_purchase_view/32047050", "UA-2021-11-22-005135-a")</f>
        <v>UA-2021-11-22-005135-a</v>
      </c>
      <c r="C533" s="31" t="s">
        <v>1728</v>
      </c>
      <c r="D533" s="31" t="s">
        <v>128</v>
      </c>
      <c r="E533" s="31" t="s">
        <v>1614</v>
      </c>
      <c r="F533" s="31" t="s">
        <v>1615</v>
      </c>
      <c r="G533" s="31" t="s">
        <v>1729</v>
      </c>
      <c r="H533" s="31" t="s">
        <v>1730</v>
      </c>
      <c r="I533" s="33" t="n">
        <v>17220</v>
      </c>
    </row>
    <row r="534" customFormat="false" ht="57.45" hidden="false" customHeight="false" outlineLevel="0" collapsed="false">
      <c r="A534" s="57" t="n">
        <v>44510</v>
      </c>
      <c r="B534" s="30" t="str">
        <f aca="false">HYPERLINK("https://my.zakupki.prom.ua/remote/dispatcher/state_purchase_view/31644036", "UA-2021-11-10-013936-a")</f>
        <v>UA-2021-11-10-013936-a</v>
      </c>
      <c r="C534" s="31" t="s">
        <v>1731</v>
      </c>
      <c r="D534" s="31" t="s">
        <v>1613</v>
      </c>
      <c r="E534" s="31" t="s">
        <v>1614</v>
      </c>
      <c r="F534" s="31" t="s">
        <v>1615</v>
      </c>
      <c r="G534" s="31" t="s">
        <v>1616</v>
      </c>
      <c r="H534" s="31" t="s">
        <v>1732</v>
      </c>
      <c r="I534" s="33" t="n">
        <v>6946.42</v>
      </c>
    </row>
    <row r="535" customFormat="false" ht="46.25" hidden="false" customHeight="false" outlineLevel="0" collapsed="false">
      <c r="A535" s="57" t="n">
        <v>44491</v>
      </c>
      <c r="B535" s="30" t="str">
        <f aca="false">HYPERLINK("https://my.zakupki.prom.ua/remote/dispatcher/state_purchase_view/30986335", "UA-2021-10-22-000919-b")</f>
        <v>UA-2021-10-22-000919-b</v>
      </c>
      <c r="C535" s="31" t="s">
        <v>1665</v>
      </c>
      <c r="D535" s="31" t="s">
        <v>345</v>
      </c>
      <c r="E535" s="31" t="s">
        <v>1614</v>
      </c>
      <c r="F535" s="31" t="s">
        <v>1615</v>
      </c>
      <c r="G535" s="31" t="s">
        <v>1666</v>
      </c>
      <c r="H535" s="31" t="s">
        <v>1733</v>
      </c>
      <c r="I535" s="33" t="n">
        <v>3200</v>
      </c>
    </row>
    <row r="536" customFormat="false" ht="46.25" hidden="false" customHeight="false" outlineLevel="0" collapsed="false">
      <c r="A536" s="57" t="n">
        <v>44491</v>
      </c>
      <c r="B536" s="30" t="str">
        <f aca="false">HYPERLINK("https://my.zakupki.prom.ua/remote/dispatcher/state_purchase_view/30986995", "UA-2021-10-22-001136-b")</f>
        <v>UA-2021-10-22-001136-b</v>
      </c>
      <c r="C536" s="31" t="s">
        <v>1734</v>
      </c>
      <c r="D536" s="31" t="s">
        <v>1735</v>
      </c>
      <c r="E536" s="31" t="s">
        <v>1614</v>
      </c>
      <c r="F536" s="31" t="s">
        <v>1615</v>
      </c>
      <c r="G536" s="31" t="s">
        <v>1634</v>
      </c>
      <c r="H536" s="31" t="s">
        <v>1736</v>
      </c>
      <c r="I536" s="33" t="n">
        <v>1900</v>
      </c>
    </row>
    <row r="537" customFormat="false" ht="57.45" hidden="false" customHeight="false" outlineLevel="0" collapsed="false">
      <c r="A537" s="57" t="n">
        <v>44508</v>
      </c>
      <c r="B537" s="30" t="str">
        <f aca="false">HYPERLINK("https://my.zakupki.prom.ua/remote/dispatcher/state_purchase_view/31547499", "UA-2021-11-08-015175-b")</f>
        <v>UA-2021-11-08-015175-b</v>
      </c>
      <c r="C537" s="31" t="s">
        <v>1737</v>
      </c>
      <c r="D537" s="31" t="s">
        <v>1622</v>
      </c>
      <c r="E537" s="31" t="s">
        <v>1614</v>
      </c>
      <c r="F537" s="31" t="s">
        <v>1615</v>
      </c>
      <c r="G537" s="31" t="s">
        <v>1616</v>
      </c>
      <c r="H537" s="31" t="s">
        <v>1738</v>
      </c>
      <c r="I537" s="33" t="n">
        <v>882.05</v>
      </c>
    </row>
    <row r="538" customFormat="false" ht="46.25" hidden="false" customHeight="false" outlineLevel="0" collapsed="false">
      <c r="A538" s="57" t="n">
        <v>44543</v>
      </c>
      <c r="B538" s="30" t="str">
        <f aca="false">HYPERLINK("https://my.zakupki.prom.ua/remote/dispatcher/state_purchase_view/32978511", "UA-2021-12-13-006500-c")</f>
        <v>UA-2021-12-13-006500-c</v>
      </c>
      <c r="C538" s="31" t="s">
        <v>1739</v>
      </c>
      <c r="D538" s="31" t="s">
        <v>1740</v>
      </c>
      <c r="E538" s="31" t="s">
        <v>1614</v>
      </c>
      <c r="F538" s="31" t="s">
        <v>1615</v>
      </c>
      <c r="G538" s="31" t="s">
        <v>1653</v>
      </c>
      <c r="H538" s="31" t="s">
        <v>1741</v>
      </c>
      <c r="I538" s="33" t="n">
        <v>49620</v>
      </c>
    </row>
    <row r="539" customFormat="false" ht="46.25" hidden="false" customHeight="false" outlineLevel="0" collapsed="false">
      <c r="A539" s="57" t="n">
        <v>44536</v>
      </c>
      <c r="B539" s="30" t="str">
        <f aca="false">HYPERLINK("https://my.zakupki.prom.ua/remote/dispatcher/state_purchase_view/32630545", "UA-2021-12-06-010044-c")</f>
        <v>UA-2021-12-06-010044-c</v>
      </c>
      <c r="C539" s="31" t="s">
        <v>1742</v>
      </c>
      <c r="D539" s="31" t="s">
        <v>26</v>
      </c>
      <c r="E539" s="31" t="s">
        <v>1614</v>
      </c>
      <c r="F539" s="31" t="s">
        <v>1615</v>
      </c>
      <c r="G539" s="31" t="s">
        <v>27</v>
      </c>
      <c r="H539" s="31" t="s">
        <v>1743</v>
      </c>
      <c r="I539" s="33" t="n">
        <v>1699.6</v>
      </c>
    </row>
    <row r="540" customFormat="false" ht="46.25" hidden="false" customHeight="false" outlineLevel="0" collapsed="false">
      <c r="A540" s="57" t="n">
        <v>44519</v>
      </c>
      <c r="B540" s="30" t="str">
        <f aca="false">HYPERLINK("https://my.zakupki.prom.ua/remote/dispatcher/state_purchase_view/31980643", "UA-2021-11-19-002243-a")</f>
        <v>UA-2021-11-19-002243-a</v>
      </c>
      <c r="C540" s="31" t="s">
        <v>1744</v>
      </c>
      <c r="D540" s="31" t="s">
        <v>1745</v>
      </c>
      <c r="E540" s="31" t="s">
        <v>1614</v>
      </c>
      <c r="F540" s="31" t="s">
        <v>1615</v>
      </c>
      <c r="G540" s="31" t="s">
        <v>1746</v>
      </c>
      <c r="H540" s="31" t="s">
        <v>1747</v>
      </c>
      <c r="I540" s="33" t="n">
        <v>2900</v>
      </c>
    </row>
    <row r="541" customFormat="false" ht="46.25" hidden="false" customHeight="false" outlineLevel="0" collapsed="false">
      <c r="A541" s="57" t="n">
        <v>44522</v>
      </c>
      <c r="B541" s="30" t="str">
        <f aca="false">HYPERLINK("https://my.zakupki.prom.ua/remote/dispatcher/state_purchase_view/32057061", "UA-2021-11-22-008054-a")</f>
        <v>UA-2021-11-22-008054-a</v>
      </c>
      <c r="C541" s="31" t="s">
        <v>1748</v>
      </c>
      <c r="D541" s="31" t="s">
        <v>1262</v>
      </c>
      <c r="E541" s="31" t="s">
        <v>1614</v>
      </c>
      <c r="F541" s="31" t="s">
        <v>1615</v>
      </c>
      <c r="G541" s="31" t="s">
        <v>1749</v>
      </c>
      <c r="H541" s="31" t="s">
        <v>1750</v>
      </c>
      <c r="I541" s="33" t="n">
        <v>5728</v>
      </c>
    </row>
    <row r="542" customFormat="false" ht="46.25" hidden="false" customHeight="false" outlineLevel="0" collapsed="false">
      <c r="A542" s="57" t="n">
        <v>44523</v>
      </c>
      <c r="B542" s="30" t="str">
        <f aca="false">HYPERLINK("https://my.zakupki.prom.ua/remote/dispatcher/state_purchase_view/32084260", "UA-2021-11-23-000613-a")</f>
        <v>UA-2021-11-23-000613-a</v>
      </c>
      <c r="C542" s="31" t="s">
        <v>1751</v>
      </c>
      <c r="D542" s="31" t="s">
        <v>1752</v>
      </c>
      <c r="E542" s="31" t="s">
        <v>1614</v>
      </c>
      <c r="F542" s="31" t="s">
        <v>1615</v>
      </c>
      <c r="G542" s="31" t="s">
        <v>1646</v>
      </c>
      <c r="H542" s="31" t="s">
        <v>1753</v>
      </c>
      <c r="I542" s="33" t="n">
        <v>2525</v>
      </c>
    </row>
    <row r="543" customFormat="false" ht="57.45" hidden="false" customHeight="false" outlineLevel="0" collapsed="false">
      <c r="A543" s="57" t="n">
        <v>44508</v>
      </c>
      <c r="B543" s="30" t="str">
        <f aca="false">HYPERLINK("https://my.zakupki.prom.ua/remote/dispatcher/state_purchase_view/31521038", "UA-2021-11-08-005776-b")</f>
        <v>UA-2021-11-08-005776-b</v>
      </c>
      <c r="C543" s="31" t="s">
        <v>1754</v>
      </c>
      <c r="D543" s="31" t="s">
        <v>1622</v>
      </c>
      <c r="E543" s="31" t="s">
        <v>1614</v>
      </c>
      <c r="F543" s="31" t="s">
        <v>1615</v>
      </c>
      <c r="G543" s="31" t="s">
        <v>1616</v>
      </c>
      <c r="H543" s="31" t="s">
        <v>1755</v>
      </c>
      <c r="I543" s="33" t="n">
        <v>1822.97</v>
      </c>
    </row>
    <row r="544" customFormat="false" ht="46.25" hidden="false" customHeight="false" outlineLevel="0" collapsed="false">
      <c r="A544" s="57" t="n">
        <v>44494</v>
      </c>
      <c r="B544" s="30" t="str">
        <f aca="false">HYPERLINK("https://my.zakupki.prom.ua/remote/dispatcher/state_purchase_view/31054218", "UA-2021-10-25-000125-b")</f>
        <v>UA-2021-10-25-000125-b</v>
      </c>
      <c r="C544" s="31" t="s">
        <v>1756</v>
      </c>
      <c r="D544" s="31" t="s">
        <v>1274</v>
      </c>
      <c r="E544" s="31" t="s">
        <v>1614</v>
      </c>
      <c r="F544" s="31" t="s">
        <v>1615</v>
      </c>
      <c r="G544" s="31" t="s">
        <v>1757</v>
      </c>
      <c r="H544" s="31" t="s">
        <v>1758</v>
      </c>
      <c r="I544" s="33" t="n">
        <v>2500</v>
      </c>
    </row>
    <row r="545" customFormat="false" ht="68.65" hidden="false" customHeight="false" outlineLevel="0" collapsed="false">
      <c r="A545" s="57" t="n">
        <v>44545</v>
      </c>
      <c r="B545" s="30" t="str">
        <f aca="false">HYPERLINK("https://my.zakupki.prom.ua/remote/dispatcher/state_purchase_view/33178023", "UA-2021-12-15-021263-c")</f>
        <v>UA-2021-12-15-021263-c</v>
      </c>
      <c r="C545" s="31" t="s">
        <v>1759</v>
      </c>
      <c r="D545" s="31" t="s">
        <v>1760</v>
      </c>
      <c r="E545" s="31" t="s">
        <v>1614</v>
      </c>
      <c r="F545" s="31" t="s">
        <v>1615</v>
      </c>
      <c r="G545" s="31" t="s">
        <v>1616</v>
      </c>
      <c r="H545" s="31" t="s">
        <v>1761</v>
      </c>
      <c r="I545" s="33" t="n">
        <v>2369.22</v>
      </c>
    </row>
    <row r="546" customFormat="false" ht="46.25" hidden="false" customHeight="false" outlineLevel="0" collapsed="false">
      <c r="A546" s="57" t="n">
        <v>44476</v>
      </c>
      <c r="B546" s="30" t="str">
        <f aca="false">HYPERLINK("https://my.zakupki.prom.ua/remote/dispatcher/state_purchase_view/30573139", "UA-2021-10-07-005441-b")</f>
        <v>UA-2021-10-07-005441-b</v>
      </c>
      <c r="C546" s="31" t="s">
        <v>1762</v>
      </c>
      <c r="D546" s="31" t="s">
        <v>200</v>
      </c>
      <c r="E546" s="31" t="s">
        <v>1614</v>
      </c>
      <c r="F546" s="31" t="s">
        <v>1615</v>
      </c>
      <c r="G546" s="31" t="s">
        <v>1763</v>
      </c>
      <c r="H546" s="31" t="s">
        <v>1764</v>
      </c>
      <c r="I546" s="33" t="n">
        <v>8686.32</v>
      </c>
    </row>
    <row r="547" customFormat="false" ht="57.45" hidden="false" customHeight="false" outlineLevel="0" collapsed="false">
      <c r="A547" s="57" t="n">
        <v>44508</v>
      </c>
      <c r="B547" s="30" t="str">
        <f aca="false">HYPERLINK("https://my.zakupki.prom.ua/remote/dispatcher/state_purchase_view/31519713", "UA-2021-11-08-005244-b")</f>
        <v>UA-2021-11-08-005244-b</v>
      </c>
      <c r="C547" s="31" t="s">
        <v>1765</v>
      </c>
      <c r="D547" s="31" t="s">
        <v>1622</v>
      </c>
      <c r="E547" s="31" t="s">
        <v>1614</v>
      </c>
      <c r="F547" s="31" t="s">
        <v>1615</v>
      </c>
      <c r="G547" s="31" t="s">
        <v>1616</v>
      </c>
      <c r="H547" s="31" t="s">
        <v>1766</v>
      </c>
      <c r="I547" s="33" t="n">
        <v>893.01</v>
      </c>
    </row>
    <row r="548" customFormat="false" ht="79.85" hidden="false" customHeight="false" outlineLevel="0" collapsed="false">
      <c r="A548" s="57" t="n">
        <v>44473</v>
      </c>
      <c r="B548" s="30" t="str">
        <f aca="false">HYPERLINK("https://my.zakupki.prom.ua/remote/dispatcher/state_purchase_view/30427548", "UA-2021-10-04-000053-b")</f>
        <v>UA-2021-10-04-000053-b</v>
      </c>
      <c r="C548" s="31" t="s">
        <v>1767</v>
      </c>
      <c r="D548" s="31" t="s">
        <v>114</v>
      </c>
      <c r="E548" s="31" t="s">
        <v>1614</v>
      </c>
      <c r="F548" s="31" t="s">
        <v>1615</v>
      </c>
      <c r="G548" s="31" t="s">
        <v>1616</v>
      </c>
      <c r="H548" s="31" t="s">
        <v>1768</v>
      </c>
      <c r="I548" s="33" t="n">
        <v>5469.74</v>
      </c>
    </row>
    <row r="549" customFormat="false" ht="68.65" hidden="false" customHeight="false" outlineLevel="0" collapsed="false">
      <c r="A549" s="57" t="n">
        <v>44536</v>
      </c>
      <c r="B549" s="30" t="str">
        <f aca="false">HYPERLINK("https://my.zakupki.prom.ua/remote/dispatcher/state_purchase_view/32606608", "UA-2021-12-06-003219-c")</f>
        <v>UA-2021-12-06-003219-c</v>
      </c>
      <c r="C549" s="31" t="s">
        <v>1769</v>
      </c>
      <c r="D549" s="31" t="s">
        <v>1613</v>
      </c>
      <c r="E549" s="31" t="s">
        <v>1614</v>
      </c>
      <c r="F549" s="31" t="s">
        <v>1615</v>
      </c>
      <c r="G549" s="31" t="s">
        <v>1616</v>
      </c>
      <c r="H549" s="31" t="s">
        <v>1770</v>
      </c>
      <c r="I549" s="33" t="n">
        <v>907.91</v>
      </c>
    </row>
    <row r="550" customFormat="false" ht="46.25" hidden="false" customHeight="false" outlineLevel="0" collapsed="false">
      <c r="A550" s="57" t="n">
        <v>44537</v>
      </c>
      <c r="B550" s="30" t="str">
        <f aca="false">HYPERLINK("https://my.zakupki.prom.ua/remote/dispatcher/state_purchase_view/32697084", "UA-2021-12-07-009587-c")</f>
        <v>UA-2021-12-07-009587-c</v>
      </c>
      <c r="C550" s="31" t="s">
        <v>1771</v>
      </c>
      <c r="D550" s="31" t="s">
        <v>1772</v>
      </c>
      <c r="E550" s="31" t="s">
        <v>1614</v>
      </c>
      <c r="F550" s="31" t="s">
        <v>1615</v>
      </c>
      <c r="G550" s="31" t="s">
        <v>1773</v>
      </c>
      <c r="H550" s="31" t="s">
        <v>1774</v>
      </c>
      <c r="I550" s="33" t="n">
        <v>400</v>
      </c>
    </row>
    <row r="551" customFormat="false" ht="68.65" hidden="false" customHeight="false" outlineLevel="0" collapsed="false">
      <c r="A551" s="57" t="n">
        <v>44550</v>
      </c>
      <c r="B551" s="30" t="str">
        <f aca="false">HYPERLINK("https://my.zakupki.prom.ua/remote/dispatcher/state_purchase_view/33398672", "UA-2021-12-20-012122-c")</f>
        <v>UA-2021-12-20-012122-c</v>
      </c>
      <c r="C551" s="31" t="s">
        <v>1775</v>
      </c>
      <c r="D551" s="31" t="s">
        <v>1613</v>
      </c>
      <c r="E551" s="31" t="s">
        <v>1614</v>
      </c>
      <c r="F551" s="31" t="s">
        <v>1615</v>
      </c>
      <c r="G551" s="31" t="s">
        <v>1616</v>
      </c>
      <c r="H551" s="31" t="s">
        <v>1776</v>
      </c>
      <c r="I551" s="33" t="n">
        <v>1736.93</v>
      </c>
    </row>
    <row r="552" customFormat="false" ht="57.45" hidden="false" customHeight="false" outlineLevel="0" collapsed="false">
      <c r="A552" s="57" t="n">
        <v>44545</v>
      </c>
      <c r="B552" s="30" t="str">
        <f aca="false">HYPERLINK("https://my.zakupki.prom.ua/remote/dispatcher/state_purchase_view/33179238", "UA-2021-12-15-021555-c")</f>
        <v>UA-2021-12-15-021555-c</v>
      </c>
      <c r="C552" s="31" t="s">
        <v>1777</v>
      </c>
      <c r="D552" s="31" t="s">
        <v>1622</v>
      </c>
      <c r="E552" s="31" t="s">
        <v>1614</v>
      </c>
      <c r="F552" s="31" t="s">
        <v>1615</v>
      </c>
      <c r="G552" s="31" t="s">
        <v>1616</v>
      </c>
      <c r="H552" s="31" t="s">
        <v>1778</v>
      </c>
      <c r="I552" s="33" t="n">
        <v>826.16</v>
      </c>
    </row>
    <row r="553" customFormat="false" ht="57.45" hidden="false" customHeight="false" outlineLevel="0" collapsed="false">
      <c r="A553" s="57" t="n">
        <v>44508</v>
      </c>
      <c r="B553" s="30" t="str">
        <f aca="false">HYPERLINK("https://my.zakupki.prom.ua/remote/dispatcher/state_purchase_view/31521513", "UA-2021-11-08-005978-b")</f>
        <v>UA-2021-11-08-005978-b</v>
      </c>
      <c r="C553" s="31" t="s">
        <v>1779</v>
      </c>
      <c r="D553" s="31" t="s">
        <v>1613</v>
      </c>
      <c r="E553" s="31" t="s">
        <v>1614</v>
      </c>
      <c r="F553" s="31" t="s">
        <v>1615</v>
      </c>
      <c r="G553" s="31" t="s">
        <v>1616</v>
      </c>
      <c r="H553" s="31" t="s">
        <v>1780</v>
      </c>
      <c r="I553" s="33" t="n">
        <v>452.53</v>
      </c>
    </row>
    <row r="554" customFormat="false" ht="46.25" hidden="false" customHeight="false" outlineLevel="0" collapsed="false">
      <c r="A554" s="57" t="n">
        <v>44477</v>
      </c>
      <c r="B554" s="30" t="str">
        <f aca="false">HYPERLINK("https://my.zakupki.prom.ua/remote/dispatcher/state_purchase_view/30604850", "UA-2021-10-08-000287-b")</f>
        <v>UA-2021-10-08-000287-b</v>
      </c>
      <c r="C554" s="31" t="s">
        <v>1781</v>
      </c>
      <c r="D554" s="31" t="s">
        <v>125</v>
      </c>
      <c r="E554" s="31" t="s">
        <v>1614</v>
      </c>
      <c r="F554" s="31" t="s">
        <v>1615</v>
      </c>
      <c r="G554" s="31" t="s">
        <v>1782</v>
      </c>
      <c r="H554" s="31" t="s">
        <v>1783</v>
      </c>
      <c r="I554" s="33" t="n">
        <v>2860</v>
      </c>
    </row>
    <row r="555" customFormat="false" ht="68.65" hidden="false" customHeight="false" outlineLevel="0" collapsed="false">
      <c r="A555" s="57" t="n">
        <v>44539</v>
      </c>
      <c r="B555" s="30" t="str">
        <f aca="false">HYPERLINK("https://my.zakupki.prom.ua/remote/dispatcher/state_purchase_view/32857194", "UA-2021-12-09-015318-c")</f>
        <v>UA-2021-12-09-015318-c</v>
      </c>
      <c r="C555" s="31" t="s">
        <v>1784</v>
      </c>
      <c r="D555" s="31" t="s">
        <v>1613</v>
      </c>
      <c r="E555" s="31" t="s">
        <v>1614</v>
      </c>
      <c r="F555" s="31" t="s">
        <v>1615</v>
      </c>
      <c r="G555" s="31" t="s">
        <v>1616</v>
      </c>
      <c r="H555" s="31" t="s">
        <v>1785</v>
      </c>
      <c r="I555" s="33" t="n">
        <v>616.19</v>
      </c>
    </row>
    <row r="556" customFormat="false" ht="46.25" hidden="false" customHeight="false" outlineLevel="0" collapsed="false">
      <c r="A556" s="57" t="n">
        <v>44522</v>
      </c>
      <c r="B556" s="30" t="str">
        <f aca="false">HYPERLINK("https://my.zakupki.prom.ua/remote/dispatcher/state_purchase_view/32040853", "UA-2021-11-22-003467-a")</f>
        <v>UA-2021-11-22-003467-a</v>
      </c>
      <c r="C556" s="31" t="s">
        <v>1786</v>
      </c>
      <c r="D556" s="31" t="s">
        <v>1787</v>
      </c>
      <c r="E556" s="31" t="s">
        <v>1614</v>
      </c>
      <c r="F556" s="31" t="s">
        <v>1615</v>
      </c>
      <c r="G556" s="31" t="s">
        <v>1729</v>
      </c>
      <c r="H556" s="31" t="s">
        <v>1788</v>
      </c>
      <c r="I556" s="33" t="n">
        <v>6090</v>
      </c>
    </row>
    <row r="557" customFormat="false" ht="46.25" hidden="false" customHeight="false" outlineLevel="0" collapsed="false">
      <c r="A557" s="57" t="n">
        <v>44510</v>
      </c>
      <c r="B557" s="30" t="str">
        <f aca="false">HYPERLINK("https://my.zakupki.prom.ua/remote/dispatcher/state_purchase_view/31625321", "UA-2021-11-10-007479-a")</f>
        <v>UA-2021-11-10-007479-a</v>
      </c>
      <c r="C557" s="31" t="s">
        <v>1789</v>
      </c>
      <c r="D557" s="31" t="s">
        <v>1790</v>
      </c>
      <c r="E557" s="31" t="s">
        <v>1614</v>
      </c>
      <c r="F557" s="31" t="s">
        <v>1615</v>
      </c>
      <c r="G557" s="31" t="s">
        <v>1646</v>
      </c>
      <c r="H557" s="31" t="s">
        <v>1791</v>
      </c>
      <c r="I557" s="33" t="n">
        <v>2987</v>
      </c>
    </row>
    <row r="558" customFormat="false" ht="46.25" hidden="false" customHeight="false" outlineLevel="0" collapsed="false">
      <c r="A558" s="57" t="n">
        <v>44525</v>
      </c>
      <c r="B558" s="30" t="str">
        <f aca="false">HYPERLINK("https://my.zakupki.prom.ua/remote/dispatcher/state_purchase_view/32200954", "UA-2021-11-25-001485-a")</f>
        <v>UA-2021-11-25-001485-a</v>
      </c>
      <c r="C558" s="31" t="s">
        <v>1792</v>
      </c>
      <c r="D558" s="31" t="s">
        <v>1793</v>
      </c>
      <c r="E558" s="31" t="s">
        <v>1614</v>
      </c>
      <c r="F558" s="31" t="s">
        <v>1615</v>
      </c>
      <c r="G558" s="31" t="s">
        <v>927</v>
      </c>
      <c r="H558" s="31" t="s">
        <v>1794</v>
      </c>
      <c r="I558" s="33" t="n">
        <v>49560</v>
      </c>
    </row>
    <row r="559" customFormat="false" ht="46.25" hidden="false" customHeight="false" outlineLevel="0" collapsed="false">
      <c r="A559" s="57" t="n">
        <v>44515</v>
      </c>
      <c r="B559" s="30" t="str">
        <f aca="false">HYPERLINK("https://my.zakupki.prom.ua/remote/dispatcher/state_purchase_view/31760194", "UA-2021-11-15-000489-a")</f>
        <v>UA-2021-11-15-000489-a</v>
      </c>
      <c r="C559" s="31" t="s">
        <v>1795</v>
      </c>
      <c r="D559" s="31" t="s">
        <v>495</v>
      </c>
      <c r="E559" s="31" t="s">
        <v>1614</v>
      </c>
      <c r="F559" s="31" t="s">
        <v>1615</v>
      </c>
      <c r="G559" s="31" t="s">
        <v>1616</v>
      </c>
      <c r="H559" s="31" t="s">
        <v>1796</v>
      </c>
      <c r="I559" s="33" t="n">
        <v>15445.58</v>
      </c>
    </row>
    <row r="560" customFormat="false" ht="57.45" hidden="false" customHeight="false" outlineLevel="0" collapsed="false">
      <c r="A560" s="57" t="n">
        <v>44545</v>
      </c>
      <c r="B560" s="30" t="str">
        <f aca="false">HYPERLINK("https://my.zakupki.prom.ua/remote/dispatcher/state_purchase_view/33178805", "UA-2021-12-15-021428-c")</f>
        <v>UA-2021-12-15-021428-c</v>
      </c>
      <c r="C560" s="31" t="s">
        <v>1797</v>
      </c>
      <c r="D560" s="31" t="s">
        <v>1613</v>
      </c>
      <c r="E560" s="31" t="s">
        <v>1614</v>
      </c>
      <c r="F560" s="31" t="s">
        <v>1615</v>
      </c>
      <c r="G560" s="31" t="s">
        <v>1616</v>
      </c>
      <c r="H560" s="31" t="s">
        <v>1798</v>
      </c>
      <c r="I560" s="33" t="n">
        <v>945.68</v>
      </c>
    </row>
    <row r="561" customFormat="false" ht="46.25" hidden="false" customHeight="false" outlineLevel="0" collapsed="false">
      <c r="A561" s="57" t="n">
        <v>44519</v>
      </c>
      <c r="B561" s="30" t="str">
        <f aca="false">HYPERLINK("https://my.zakupki.prom.ua/remote/dispatcher/state_purchase_view/32000777", "UA-2021-11-19-007906-a")</f>
        <v>UA-2021-11-19-007906-a</v>
      </c>
      <c r="C561" s="31" t="s">
        <v>1799</v>
      </c>
      <c r="D561" s="31" t="s">
        <v>121</v>
      </c>
      <c r="E561" s="31" t="s">
        <v>1614</v>
      </c>
      <c r="F561" s="31" t="s">
        <v>1615</v>
      </c>
      <c r="G561" s="31" t="s">
        <v>27</v>
      </c>
      <c r="H561" s="31" t="s">
        <v>1800</v>
      </c>
      <c r="I561" s="33" t="n">
        <v>2988.5</v>
      </c>
    </row>
    <row r="562" customFormat="false" ht="91" hidden="false" customHeight="false" outlineLevel="0" collapsed="false">
      <c r="A562" s="57" t="n">
        <v>44496</v>
      </c>
      <c r="B562" s="30" t="str">
        <f aca="false">HYPERLINK("https://my.zakupki.prom.ua/remote/dispatcher/state_purchase_view/31156323", "UA-2021-10-27-002406-a")</f>
        <v>UA-2021-10-27-002406-a</v>
      </c>
      <c r="C562" s="31" t="s">
        <v>1801</v>
      </c>
      <c r="D562" s="31" t="s">
        <v>1802</v>
      </c>
      <c r="E562" s="31" t="s">
        <v>1614</v>
      </c>
      <c r="F562" s="31" t="s">
        <v>1615</v>
      </c>
      <c r="G562" s="31" t="s">
        <v>511</v>
      </c>
      <c r="H562" s="31" t="s">
        <v>1803</v>
      </c>
      <c r="I562" s="33" t="n">
        <v>30749.64</v>
      </c>
    </row>
    <row r="563" customFormat="false" ht="46.25" hidden="false" customHeight="false" outlineLevel="0" collapsed="false">
      <c r="A563" s="57" t="n">
        <v>44489</v>
      </c>
      <c r="B563" s="30" t="str">
        <f aca="false">HYPERLINK("https://my.zakupki.prom.ua/remote/dispatcher/state_purchase_view/30924817", "UA-2021-10-20-011122-b")</f>
        <v>UA-2021-10-20-011122-b</v>
      </c>
      <c r="C563" s="31" t="s">
        <v>1804</v>
      </c>
      <c r="D563" s="31" t="s">
        <v>26</v>
      </c>
      <c r="E563" s="31" t="s">
        <v>1614</v>
      </c>
      <c r="F563" s="31" t="s">
        <v>1615</v>
      </c>
      <c r="G563" s="31" t="s">
        <v>80</v>
      </c>
      <c r="H563" s="31" t="s">
        <v>1805</v>
      </c>
      <c r="I563" s="33" t="n">
        <v>13224</v>
      </c>
    </row>
    <row r="564" customFormat="false" ht="91" hidden="false" customHeight="false" outlineLevel="0" collapsed="false">
      <c r="A564" s="57" t="n">
        <v>44488</v>
      </c>
      <c r="B564" s="30" t="str">
        <f aca="false">HYPERLINK("https://my.zakupki.prom.ua/remote/dispatcher/state_purchase_view/30849345", "UA-2021-10-19-003410-c")</f>
        <v>UA-2021-10-19-003410-c</v>
      </c>
      <c r="C564" s="31" t="s">
        <v>1806</v>
      </c>
      <c r="D564" s="31" t="s">
        <v>269</v>
      </c>
      <c r="E564" s="31" t="s">
        <v>1614</v>
      </c>
      <c r="F564" s="31" t="s">
        <v>1615</v>
      </c>
      <c r="G564" s="31" t="s">
        <v>1807</v>
      </c>
      <c r="H564" s="31" t="s">
        <v>1808</v>
      </c>
      <c r="I564" s="33" t="n">
        <v>3992</v>
      </c>
    </row>
    <row r="565" customFormat="false" ht="57.45" hidden="false" customHeight="false" outlineLevel="0" collapsed="false">
      <c r="A565" s="57" t="n">
        <v>44490</v>
      </c>
      <c r="B565" s="30" t="str">
        <f aca="false">HYPERLINK("https://my.zakupki.prom.ua/remote/dispatcher/state_purchase_view/30959248", "UA-2021-10-21-007152-b")</f>
        <v>UA-2021-10-21-007152-b</v>
      </c>
      <c r="C565" s="31" t="s">
        <v>1809</v>
      </c>
      <c r="D565" s="31" t="s">
        <v>193</v>
      </c>
      <c r="E565" s="31" t="s">
        <v>1614</v>
      </c>
      <c r="F565" s="31" t="s">
        <v>1615</v>
      </c>
      <c r="G565" s="31" t="s">
        <v>1643</v>
      </c>
      <c r="H565" s="31" t="s">
        <v>1810</v>
      </c>
      <c r="I565" s="33" t="n">
        <v>2096.5</v>
      </c>
    </row>
    <row r="566" customFormat="false" ht="46.25" hidden="false" customHeight="false" outlineLevel="0" collapsed="false">
      <c r="A566" s="57" t="n">
        <v>44547</v>
      </c>
      <c r="B566" s="30" t="str">
        <f aca="false">HYPERLINK("https://my.zakupki.prom.ua/remote/dispatcher/state_purchase_view/33311275", "UA-2021-12-17-012532-c")</f>
        <v>UA-2021-12-17-012532-c</v>
      </c>
      <c r="C566" s="31" t="s">
        <v>1811</v>
      </c>
      <c r="D566" s="31" t="s">
        <v>311</v>
      </c>
      <c r="E566" s="31" t="s">
        <v>1614</v>
      </c>
      <c r="F566" s="31" t="s">
        <v>1615</v>
      </c>
      <c r="G566" s="31" t="s">
        <v>1812</v>
      </c>
      <c r="H566" s="31" t="s">
        <v>1813</v>
      </c>
      <c r="I566" s="33" t="n">
        <v>9561</v>
      </c>
    </row>
    <row r="567" customFormat="false" ht="46.25" hidden="false" customHeight="false" outlineLevel="0" collapsed="false">
      <c r="A567" s="57" t="n">
        <v>44551</v>
      </c>
      <c r="B567" s="30" t="str">
        <f aca="false">HYPERLINK("https://my.zakupki.prom.ua/remote/dispatcher/state_purchase_view/33438004", "UA-2021-12-21-000654-c")</f>
        <v>UA-2021-12-21-000654-c</v>
      </c>
      <c r="C567" s="31" t="s">
        <v>1814</v>
      </c>
      <c r="D567" s="31" t="s">
        <v>1815</v>
      </c>
      <c r="E567" s="31" t="s">
        <v>1614</v>
      </c>
      <c r="F567" s="31" t="s">
        <v>1615</v>
      </c>
      <c r="G567" s="31" t="s">
        <v>68</v>
      </c>
      <c r="H567" s="31" t="s">
        <v>1816</v>
      </c>
      <c r="I567" s="33" t="n">
        <v>1100</v>
      </c>
    </row>
    <row r="568" customFormat="false" ht="68.65" hidden="false" customHeight="false" outlineLevel="0" collapsed="false">
      <c r="A568" s="57" t="n">
        <v>44539</v>
      </c>
      <c r="B568" s="30" t="str">
        <f aca="false">HYPERLINK("https://my.zakupki.prom.ua/remote/dispatcher/state_purchase_view/32860266", "UA-2021-12-09-016166-c")</f>
        <v>UA-2021-12-09-016166-c</v>
      </c>
      <c r="C568" s="31" t="s">
        <v>1817</v>
      </c>
      <c r="D568" s="31" t="s">
        <v>495</v>
      </c>
      <c r="E568" s="31" t="s">
        <v>1614</v>
      </c>
      <c r="F568" s="31" t="s">
        <v>1615</v>
      </c>
      <c r="G568" s="31" t="s">
        <v>1616</v>
      </c>
      <c r="H568" s="31" t="s">
        <v>1818</v>
      </c>
      <c r="I568" s="33" t="n">
        <v>1924.62</v>
      </c>
    </row>
    <row r="569" customFormat="false" ht="91" hidden="false" customHeight="false" outlineLevel="0" collapsed="false">
      <c r="A569" s="57" t="n">
        <v>44470</v>
      </c>
      <c r="B569" s="30" t="str">
        <f aca="false">HYPERLINK("https://my.zakupki.prom.ua/remote/dispatcher/state_purchase_view/30415451", "UA-2021-10-01-007301-b")</f>
        <v>UA-2021-10-01-007301-b</v>
      </c>
      <c r="C569" s="31" t="s">
        <v>1819</v>
      </c>
      <c r="D569" s="31" t="s">
        <v>1820</v>
      </c>
      <c r="E569" s="31" t="s">
        <v>1614</v>
      </c>
      <c r="F569" s="31" t="s">
        <v>1615</v>
      </c>
      <c r="G569" s="31" t="s">
        <v>511</v>
      </c>
      <c r="H569" s="31" t="s">
        <v>1821</v>
      </c>
      <c r="I569" s="33" t="n">
        <v>34215.48</v>
      </c>
    </row>
    <row r="570" customFormat="false" ht="57.45" hidden="false" customHeight="false" outlineLevel="0" collapsed="false">
      <c r="A570" s="57" t="n">
        <v>44473</v>
      </c>
      <c r="B570" s="30" t="str">
        <f aca="false">HYPERLINK("https://my.zakupki.prom.ua/remote/dispatcher/state_purchase_view/30432523", "UA-2021-10-04-001450-b")</f>
        <v>UA-2021-10-04-001450-b</v>
      </c>
      <c r="C570" s="31" t="s">
        <v>1822</v>
      </c>
      <c r="D570" s="31" t="s">
        <v>1622</v>
      </c>
      <c r="E570" s="31" t="s">
        <v>1614</v>
      </c>
      <c r="F570" s="31" t="s">
        <v>1615</v>
      </c>
      <c r="G570" s="31" t="s">
        <v>1616</v>
      </c>
      <c r="H570" s="31" t="s">
        <v>1823</v>
      </c>
      <c r="I570" s="33" t="n">
        <v>7378.34</v>
      </c>
    </row>
    <row r="571" customFormat="false" ht="46.25" hidden="false" customHeight="false" outlineLevel="0" collapsed="false">
      <c r="A571" s="57" t="n">
        <v>44510</v>
      </c>
      <c r="B571" s="30" t="str">
        <f aca="false">HYPERLINK("https://my.zakupki.prom.ua/remote/dispatcher/state_purchase_view/31628380", "UA-2021-11-10-008530-a")</f>
        <v>UA-2021-11-10-008530-a</v>
      </c>
      <c r="C571" s="31" t="s">
        <v>1824</v>
      </c>
      <c r="D571" s="31" t="s">
        <v>125</v>
      </c>
      <c r="E571" s="31" t="s">
        <v>1614</v>
      </c>
      <c r="F571" s="31" t="s">
        <v>1615</v>
      </c>
      <c r="G571" s="31" t="s">
        <v>1643</v>
      </c>
      <c r="H571" s="31" t="s">
        <v>1825</v>
      </c>
      <c r="I571" s="33" t="n">
        <v>2998</v>
      </c>
    </row>
    <row r="572" customFormat="false" ht="46.25" hidden="false" customHeight="false" outlineLevel="0" collapsed="false">
      <c r="A572" s="57" t="n">
        <v>44515</v>
      </c>
      <c r="B572" s="30" t="str">
        <f aca="false">HYPERLINK("https://my.zakupki.prom.ua/remote/dispatcher/state_purchase_view/31761663", "UA-2021-11-15-001006-a")</f>
        <v>UA-2021-11-15-001006-a</v>
      </c>
      <c r="C572" s="31" t="s">
        <v>1826</v>
      </c>
      <c r="D572" s="31" t="s">
        <v>218</v>
      </c>
      <c r="E572" s="31" t="s">
        <v>1614</v>
      </c>
      <c r="F572" s="31" t="s">
        <v>1615</v>
      </c>
      <c r="G572" s="31" t="s">
        <v>27</v>
      </c>
      <c r="H572" s="31" t="s">
        <v>1827</v>
      </c>
      <c r="I572" s="33" t="n">
        <v>2977</v>
      </c>
    </row>
    <row r="573" customFormat="false" ht="46.25" hidden="false" customHeight="false" outlineLevel="0" collapsed="false">
      <c r="A573" s="57" t="n">
        <v>44511</v>
      </c>
      <c r="B573" s="30" t="str">
        <f aca="false">HYPERLINK("https://my.zakupki.prom.ua/remote/dispatcher/state_purchase_view/31663636", "UA-2021-11-11-002906-a")</f>
        <v>UA-2021-11-11-002906-a</v>
      </c>
      <c r="C573" s="31" t="s">
        <v>1828</v>
      </c>
      <c r="D573" s="31" t="s">
        <v>218</v>
      </c>
      <c r="E573" s="31" t="s">
        <v>1614</v>
      </c>
      <c r="F573" s="31" t="s">
        <v>1615</v>
      </c>
      <c r="G573" s="31" t="s">
        <v>80</v>
      </c>
      <c r="H573" s="31" t="s">
        <v>1829</v>
      </c>
      <c r="I573" s="33" t="n">
        <v>2720</v>
      </c>
    </row>
    <row r="574" customFormat="false" ht="46.25" hidden="false" customHeight="false" outlineLevel="0" collapsed="false">
      <c r="A574" s="57" t="n">
        <v>44494</v>
      </c>
      <c r="B574" s="30" t="str">
        <f aca="false">HYPERLINK("https://my.zakupki.prom.ua/remote/dispatcher/state_purchase_view/31067526", "UA-2021-10-25-004555-b")</f>
        <v>UA-2021-10-25-004555-b</v>
      </c>
      <c r="C574" s="31" t="s">
        <v>1830</v>
      </c>
      <c r="D574" s="31" t="s">
        <v>1831</v>
      </c>
      <c r="E574" s="31" t="s">
        <v>1614</v>
      </c>
      <c r="F574" s="31" t="s">
        <v>1615</v>
      </c>
      <c r="G574" s="31" t="s">
        <v>1832</v>
      </c>
      <c r="H574" s="31" t="s">
        <v>1833</v>
      </c>
      <c r="I574" s="33" t="n">
        <v>21450</v>
      </c>
    </row>
    <row r="575" customFormat="false" ht="57.45" hidden="false" customHeight="false" outlineLevel="0" collapsed="false">
      <c r="A575" s="57" t="n">
        <v>44537</v>
      </c>
      <c r="B575" s="30" t="str">
        <f aca="false">HYPERLINK("https://my.zakupki.prom.ua/remote/dispatcher/state_purchase_view/32709465", "UA-2021-12-07-013139-c")</f>
        <v>UA-2021-12-07-013139-c</v>
      </c>
      <c r="C575" s="31" t="s">
        <v>1834</v>
      </c>
      <c r="D575" s="31" t="s">
        <v>495</v>
      </c>
      <c r="E575" s="31" t="s">
        <v>1614</v>
      </c>
      <c r="F575" s="31" t="s">
        <v>1615</v>
      </c>
      <c r="G575" s="31" t="s">
        <v>1616</v>
      </c>
      <c r="H575" s="31" t="s">
        <v>1835</v>
      </c>
      <c r="I575" s="33" t="n">
        <v>1270.95</v>
      </c>
    </row>
    <row r="576" customFormat="false" ht="57.45" hidden="false" customHeight="false" outlineLevel="0" collapsed="false">
      <c r="A576" s="57" t="n">
        <v>44545</v>
      </c>
      <c r="B576" s="30" t="str">
        <f aca="false">HYPERLINK("https://my.zakupki.prom.ua/remote/dispatcher/state_purchase_view/33162419", "UA-2021-12-15-016687-c")</f>
        <v>UA-2021-12-15-016687-c</v>
      </c>
      <c r="C576" s="31" t="s">
        <v>1737</v>
      </c>
      <c r="D576" s="31" t="s">
        <v>1622</v>
      </c>
      <c r="E576" s="31" t="s">
        <v>1614</v>
      </c>
      <c r="F576" s="31" t="s">
        <v>1615</v>
      </c>
      <c r="G576" s="31" t="s">
        <v>1616</v>
      </c>
      <c r="H576" s="31" t="s">
        <v>1836</v>
      </c>
      <c r="I576" s="33" t="n">
        <v>1042.83</v>
      </c>
    </row>
    <row r="577" customFormat="false" ht="68.65" hidden="false" customHeight="false" outlineLevel="0" collapsed="false">
      <c r="A577" s="57" t="n">
        <v>44473</v>
      </c>
      <c r="B577" s="30" t="str">
        <f aca="false">HYPERLINK("https://my.zakupki.prom.ua/remote/dispatcher/state_purchase_view/30427500", "UA-2021-10-04-000041-b")</f>
        <v>UA-2021-10-04-000041-b</v>
      </c>
      <c r="C577" s="31" t="s">
        <v>1837</v>
      </c>
      <c r="D577" s="31" t="s">
        <v>1622</v>
      </c>
      <c r="E577" s="31" t="s">
        <v>1614</v>
      </c>
      <c r="F577" s="31" t="s">
        <v>1615</v>
      </c>
      <c r="G577" s="31" t="s">
        <v>1616</v>
      </c>
      <c r="H577" s="31" t="s">
        <v>1838</v>
      </c>
      <c r="I577" s="33" t="n">
        <v>41999.88</v>
      </c>
    </row>
    <row r="578" customFormat="false" ht="57.45" hidden="false" customHeight="false" outlineLevel="0" collapsed="false">
      <c r="A578" s="57" t="n">
        <v>44536</v>
      </c>
      <c r="B578" s="30" t="str">
        <f aca="false">HYPERLINK("https://my.zakupki.prom.ua/remote/dispatcher/state_purchase_view/32609342", "UA-2021-12-06-003978-c")</f>
        <v>UA-2021-12-06-003978-c</v>
      </c>
      <c r="C578" s="31" t="s">
        <v>1839</v>
      </c>
      <c r="D578" s="31" t="s">
        <v>1613</v>
      </c>
      <c r="E578" s="31" t="s">
        <v>1614</v>
      </c>
      <c r="F578" s="31" t="s">
        <v>1615</v>
      </c>
      <c r="G578" s="31" t="s">
        <v>1616</v>
      </c>
      <c r="H578" s="31" t="s">
        <v>1840</v>
      </c>
      <c r="I578" s="33" t="n">
        <v>1324.81</v>
      </c>
    </row>
    <row r="579" customFormat="false" ht="57.45" hidden="false" customHeight="false" outlineLevel="0" collapsed="false">
      <c r="A579" s="57" t="n">
        <v>44537</v>
      </c>
      <c r="B579" s="30" t="str">
        <f aca="false">HYPERLINK("https://my.zakupki.prom.ua/remote/dispatcher/state_purchase_view/32710349", "UA-2021-12-07-013411-c")</f>
        <v>UA-2021-12-07-013411-c</v>
      </c>
      <c r="C579" s="31" t="s">
        <v>1841</v>
      </c>
      <c r="D579" s="31" t="s">
        <v>1613</v>
      </c>
      <c r="E579" s="31" t="s">
        <v>1614</v>
      </c>
      <c r="F579" s="31" t="s">
        <v>1615</v>
      </c>
      <c r="G579" s="31" t="s">
        <v>1616</v>
      </c>
      <c r="H579" s="31" t="s">
        <v>1842</v>
      </c>
      <c r="I579" s="33" t="n">
        <v>4241.17</v>
      </c>
    </row>
    <row r="580" customFormat="false" ht="46.25" hidden="false" customHeight="false" outlineLevel="0" collapsed="false">
      <c r="A580" s="57" t="n">
        <v>44470</v>
      </c>
      <c r="B580" s="30" t="str">
        <f aca="false">HYPERLINK("https://my.zakupki.prom.ua/remote/dispatcher/state_purchase_view/30397284", "UA-2021-10-01-001522-b")</f>
        <v>UA-2021-10-01-001522-b</v>
      </c>
      <c r="C580" s="31" t="s">
        <v>1843</v>
      </c>
      <c r="D580" s="31" t="s">
        <v>366</v>
      </c>
      <c r="E580" s="31" t="s">
        <v>1614</v>
      </c>
      <c r="F580" s="31" t="s">
        <v>1615</v>
      </c>
      <c r="G580" s="31" t="s">
        <v>1844</v>
      </c>
      <c r="H580" s="31" t="s">
        <v>1845</v>
      </c>
      <c r="I580" s="33" t="n">
        <v>18900</v>
      </c>
    </row>
    <row r="581" customFormat="false" ht="91" hidden="false" customHeight="false" outlineLevel="0" collapsed="false">
      <c r="A581" s="57" t="n">
        <v>44496</v>
      </c>
      <c r="B581" s="30" t="str">
        <f aca="false">HYPERLINK("https://my.zakupki.prom.ua/remote/dispatcher/state_purchase_view/31157586", "UA-2021-10-27-002790-a")</f>
        <v>UA-2021-10-27-002790-a</v>
      </c>
      <c r="C581" s="31" t="s">
        <v>1846</v>
      </c>
      <c r="D581" s="31" t="s">
        <v>1802</v>
      </c>
      <c r="E581" s="31" t="s">
        <v>1614</v>
      </c>
      <c r="F581" s="31" t="s">
        <v>1615</v>
      </c>
      <c r="G581" s="31" t="s">
        <v>511</v>
      </c>
      <c r="H581" s="31" t="s">
        <v>1847</v>
      </c>
      <c r="I581" s="33" t="n">
        <v>12023.28</v>
      </c>
    </row>
    <row r="582" customFormat="false" ht="46.25" hidden="false" customHeight="false" outlineLevel="0" collapsed="false">
      <c r="A582" s="57" t="n">
        <v>44522</v>
      </c>
      <c r="B582" s="30" t="str">
        <f aca="false">HYPERLINK("https://my.zakupki.prom.ua/remote/dispatcher/state_purchase_view/32043930", "UA-2021-11-22-004291-a")</f>
        <v>UA-2021-11-22-004291-a</v>
      </c>
      <c r="C582" s="31" t="s">
        <v>1848</v>
      </c>
      <c r="D582" s="31" t="s">
        <v>1260</v>
      </c>
      <c r="E582" s="31" t="s">
        <v>1614</v>
      </c>
      <c r="F582" s="31" t="s">
        <v>1615</v>
      </c>
      <c r="G582" s="31" t="s">
        <v>1729</v>
      </c>
      <c r="H582" s="31" t="s">
        <v>1849</v>
      </c>
      <c r="I582" s="33" t="n">
        <v>11760</v>
      </c>
    </row>
    <row r="583" customFormat="false" ht="57.45" hidden="false" customHeight="false" outlineLevel="0" collapsed="false">
      <c r="A583" s="57" t="n">
        <v>44508</v>
      </c>
      <c r="B583" s="30" t="str">
        <f aca="false">HYPERLINK("https://my.zakupki.prom.ua/remote/dispatcher/state_purchase_view/31545903", "UA-2021-11-08-014624-b")</f>
        <v>UA-2021-11-08-014624-b</v>
      </c>
      <c r="C583" s="31" t="s">
        <v>1850</v>
      </c>
      <c r="D583" s="31" t="s">
        <v>1622</v>
      </c>
      <c r="E583" s="31" t="s">
        <v>1614</v>
      </c>
      <c r="F583" s="31" t="s">
        <v>1615</v>
      </c>
      <c r="G583" s="31" t="s">
        <v>1616</v>
      </c>
      <c r="H583" s="31" t="s">
        <v>1851</v>
      </c>
      <c r="I583" s="33" t="n">
        <v>4005.75</v>
      </c>
    </row>
    <row r="584" customFormat="false" ht="57.45" hidden="false" customHeight="false" outlineLevel="0" collapsed="false">
      <c r="A584" s="57" t="n">
        <v>44508</v>
      </c>
      <c r="B584" s="30" t="str">
        <f aca="false">HYPERLINK("https://my.zakupki.prom.ua/remote/dispatcher/state_purchase_view/31544530", "UA-2021-11-08-014159-b")</f>
        <v>UA-2021-11-08-014159-b</v>
      </c>
      <c r="C584" s="31" t="s">
        <v>1852</v>
      </c>
      <c r="D584" s="31" t="s">
        <v>63</v>
      </c>
      <c r="E584" s="31" t="s">
        <v>1614</v>
      </c>
      <c r="F584" s="31" t="s">
        <v>1615</v>
      </c>
      <c r="G584" s="31" t="s">
        <v>1616</v>
      </c>
      <c r="H584" s="31" t="s">
        <v>1853</v>
      </c>
      <c r="I584" s="33" t="n">
        <v>24032.87</v>
      </c>
    </row>
    <row r="585" customFormat="false" ht="46.25" hidden="false" customHeight="false" outlineLevel="0" collapsed="false">
      <c r="A585" s="57" t="n">
        <v>44511</v>
      </c>
      <c r="B585" s="30" t="str">
        <f aca="false">HYPERLINK("https://my.zakupki.prom.ua/remote/dispatcher/state_purchase_view/31657447", "UA-2021-11-11-000825-a")</f>
        <v>UA-2021-11-11-000825-a</v>
      </c>
      <c r="C585" s="31" t="s">
        <v>1854</v>
      </c>
      <c r="D585" s="31" t="s">
        <v>1713</v>
      </c>
      <c r="E585" s="31" t="s">
        <v>1614</v>
      </c>
      <c r="F585" s="31" t="s">
        <v>1615</v>
      </c>
      <c r="G585" s="31" t="s">
        <v>1714</v>
      </c>
      <c r="H585" s="31" t="s">
        <v>1855</v>
      </c>
      <c r="I585" s="33" t="n">
        <v>180</v>
      </c>
    </row>
    <row r="586" customFormat="false" ht="46.25" hidden="false" customHeight="false" outlineLevel="0" collapsed="false">
      <c r="A586" s="57" t="n">
        <v>44515</v>
      </c>
      <c r="B586" s="30" t="str">
        <f aca="false">HYPERLINK("https://my.zakupki.prom.ua/remote/dispatcher/state_purchase_view/31764607", "UA-2021-11-15-002028-a")</f>
        <v>UA-2021-11-15-002028-a</v>
      </c>
      <c r="C586" s="31" t="s">
        <v>1856</v>
      </c>
      <c r="D586" s="31" t="s">
        <v>246</v>
      </c>
      <c r="E586" s="31" t="s">
        <v>1614</v>
      </c>
      <c r="F586" s="31" t="s">
        <v>1615</v>
      </c>
      <c r="G586" s="31" t="s">
        <v>1857</v>
      </c>
      <c r="H586" s="31" t="s">
        <v>1858</v>
      </c>
      <c r="I586" s="33" t="n">
        <v>3000</v>
      </c>
    </row>
    <row r="587" customFormat="false" ht="68.65" hidden="false" customHeight="false" outlineLevel="0" collapsed="false">
      <c r="A587" s="57" t="n">
        <v>44473</v>
      </c>
      <c r="B587" s="30" t="str">
        <f aca="false">HYPERLINK("https://my.zakupki.prom.ua/remote/dispatcher/state_purchase_view/30452242", "UA-2021-10-04-007001-b")</f>
        <v>UA-2021-10-04-007001-b</v>
      </c>
      <c r="C587" s="31" t="s">
        <v>1859</v>
      </c>
      <c r="D587" s="31" t="s">
        <v>1622</v>
      </c>
      <c r="E587" s="31" t="s">
        <v>1614</v>
      </c>
      <c r="F587" s="31" t="s">
        <v>1615</v>
      </c>
      <c r="G587" s="31" t="s">
        <v>1616</v>
      </c>
      <c r="H587" s="31" t="s">
        <v>1860</v>
      </c>
      <c r="I587" s="33" t="n">
        <v>11875.65</v>
      </c>
    </row>
    <row r="588" customFormat="false" ht="46.25" hidden="false" customHeight="false" outlineLevel="0" collapsed="false">
      <c r="A588" s="57" t="n">
        <v>44524</v>
      </c>
      <c r="B588" s="30" t="str">
        <f aca="false">HYPERLINK("https://my.zakupki.prom.ua/remote/dispatcher/state_purchase_view/32140075", "UA-2021-11-24-000519-a")</f>
        <v>UA-2021-11-24-000519-a</v>
      </c>
      <c r="C588" s="31" t="s">
        <v>1861</v>
      </c>
      <c r="D588" s="31" t="s">
        <v>121</v>
      </c>
      <c r="E588" s="31" t="s">
        <v>1614</v>
      </c>
      <c r="F588" s="31" t="s">
        <v>1615</v>
      </c>
      <c r="G588" s="31" t="s">
        <v>1862</v>
      </c>
      <c r="H588" s="31" t="s">
        <v>1863</v>
      </c>
      <c r="I588" s="33" t="n">
        <v>6000</v>
      </c>
    </row>
    <row r="589" customFormat="false" ht="46.25" hidden="false" customHeight="false" outlineLevel="0" collapsed="false">
      <c r="A589" s="57" t="n">
        <v>44525</v>
      </c>
      <c r="B589" s="30" t="str">
        <f aca="false">HYPERLINK("https://my.zakupki.prom.ua/remote/dispatcher/state_purchase_view/32229318", "UA-2021-11-25-009443-a")</f>
        <v>UA-2021-11-25-009443-a</v>
      </c>
      <c r="C589" s="31" t="s">
        <v>1864</v>
      </c>
      <c r="D589" s="31" t="s">
        <v>26</v>
      </c>
      <c r="E589" s="31" t="s">
        <v>1614</v>
      </c>
      <c r="F589" s="31" t="s">
        <v>1615</v>
      </c>
      <c r="G589" s="31" t="s">
        <v>1865</v>
      </c>
      <c r="H589" s="31" t="s">
        <v>1866</v>
      </c>
      <c r="I589" s="33" t="n">
        <v>700</v>
      </c>
    </row>
    <row r="590" customFormat="false" ht="46.25" hidden="false" customHeight="false" outlineLevel="0" collapsed="false">
      <c r="A590" s="57" t="n">
        <v>44531</v>
      </c>
      <c r="B590" s="30" t="str">
        <f aca="false">HYPERLINK("https://my.zakupki.prom.ua/remote/dispatcher/state_purchase_view/32415766", "UA-2021-12-01-001675-c")</f>
        <v>UA-2021-12-01-001675-c</v>
      </c>
      <c r="C590" s="31" t="s">
        <v>1867</v>
      </c>
      <c r="D590" s="31" t="s">
        <v>175</v>
      </c>
      <c r="E590" s="31" t="s">
        <v>1614</v>
      </c>
      <c r="F590" s="31" t="s">
        <v>1615</v>
      </c>
      <c r="G590" s="31" t="s">
        <v>176</v>
      </c>
      <c r="H590" s="31" t="s">
        <v>1868</v>
      </c>
      <c r="I590" s="33" t="n">
        <v>2164.8</v>
      </c>
    </row>
    <row r="591" customFormat="false" ht="68.65" hidden="false" customHeight="false" outlineLevel="0" collapsed="false">
      <c r="A591" s="57" t="n">
        <v>44540</v>
      </c>
      <c r="B591" s="30" t="str">
        <f aca="false">HYPERLINK("https://my.zakupki.prom.ua/remote/dispatcher/state_purchase_view/32902332", "UA-2021-12-10-006723-c")</f>
        <v>UA-2021-12-10-006723-c</v>
      </c>
      <c r="C591" s="31" t="s">
        <v>1869</v>
      </c>
      <c r="D591" s="31" t="s">
        <v>1870</v>
      </c>
      <c r="E591" s="31" t="s">
        <v>1614</v>
      </c>
      <c r="F591" s="31" t="s">
        <v>1615</v>
      </c>
      <c r="G591" s="31" t="s">
        <v>1871</v>
      </c>
      <c r="H591" s="31" t="s">
        <v>1872</v>
      </c>
      <c r="I591" s="33" t="n">
        <v>26700</v>
      </c>
    </row>
    <row r="592" customFormat="false" ht="46.25" hidden="false" customHeight="false" outlineLevel="0" collapsed="false">
      <c r="A592" s="57" t="n">
        <v>44501</v>
      </c>
      <c r="B592" s="30" t="str">
        <f aca="false">HYPERLINK("https://my.zakupki.prom.ua/remote/dispatcher/state_purchase_view/31272090", "UA-2021-11-01-000444-a")</f>
        <v>UA-2021-11-01-000444-a</v>
      </c>
      <c r="C592" s="31" t="s">
        <v>1645</v>
      </c>
      <c r="D592" s="31" t="s">
        <v>121</v>
      </c>
      <c r="E592" s="31" t="s">
        <v>1614</v>
      </c>
      <c r="F592" s="31" t="s">
        <v>1615</v>
      </c>
      <c r="G592" s="31" t="s">
        <v>1862</v>
      </c>
      <c r="H592" s="31" t="s">
        <v>1873</v>
      </c>
      <c r="I592" s="33" t="n">
        <v>1447</v>
      </c>
    </row>
    <row r="593" customFormat="false" ht="169.4" hidden="false" customHeight="false" outlineLevel="0" collapsed="false">
      <c r="A593" s="57" t="n">
        <v>44505</v>
      </c>
      <c r="B593" s="30" t="str">
        <f aca="false">HYPERLINK("https://my.zakupki.prom.ua/remote/dispatcher/state_purchase_view/31473045", "UA-2021-11-05-006151-b")</f>
        <v>UA-2021-11-05-006151-b</v>
      </c>
      <c r="C593" s="31" t="s">
        <v>1874</v>
      </c>
      <c r="D593" s="31" t="s">
        <v>1875</v>
      </c>
      <c r="E593" s="31" t="s">
        <v>1614</v>
      </c>
      <c r="F593" s="31" t="s">
        <v>1615</v>
      </c>
      <c r="G593" s="31" t="s">
        <v>1650</v>
      </c>
      <c r="H593" s="31" t="s">
        <v>1876</v>
      </c>
      <c r="I593" s="33" t="n">
        <v>26262</v>
      </c>
    </row>
    <row r="594" customFormat="false" ht="46.25" hidden="false" customHeight="false" outlineLevel="0" collapsed="false">
      <c r="A594" s="57" t="n">
        <v>44515</v>
      </c>
      <c r="B594" s="30" t="str">
        <f aca="false">HYPERLINK("https://my.zakupki.prom.ua/remote/dispatcher/state_purchase_view/31763092", "UA-2021-11-15-001507-a")</f>
        <v>UA-2021-11-15-001507-a</v>
      </c>
      <c r="C594" s="31" t="s">
        <v>1877</v>
      </c>
      <c r="D594" s="31" t="s">
        <v>121</v>
      </c>
      <c r="E594" s="31" t="s">
        <v>1614</v>
      </c>
      <c r="F594" s="31" t="s">
        <v>1615</v>
      </c>
      <c r="G594" s="31" t="s">
        <v>1782</v>
      </c>
      <c r="H594" s="31" t="s">
        <v>1878</v>
      </c>
      <c r="I594" s="33" t="n">
        <v>1750</v>
      </c>
    </row>
    <row r="595" customFormat="false" ht="46.25" hidden="false" customHeight="false" outlineLevel="0" collapsed="false">
      <c r="A595" s="57" t="n">
        <v>44511</v>
      </c>
      <c r="B595" s="30" t="str">
        <f aca="false">HYPERLINK("https://my.zakupki.prom.ua/remote/dispatcher/state_purchase_view/31659758", "UA-2021-11-11-001547-a")</f>
        <v>UA-2021-11-11-001547-a</v>
      </c>
      <c r="C595" s="31" t="s">
        <v>1657</v>
      </c>
      <c r="D595" s="31" t="s">
        <v>495</v>
      </c>
      <c r="E595" s="31" t="s">
        <v>1614</v>
      </c>
      <c r="F595" s="31" t="s">
        <v>1615</v>
      </c>
      <c r="G595" s="31" t="s">
        <v>1616</v>
      </c>
      <c r="H595" s="31" t="s">
        <v>1879</v>
      </c>
      <c r="I595" s="33" t="n">
        <v>6570.81</v>
      </c>
    </row>
    <row r="596" customFormat="false" ht="46.25" hidden="false" customHeight="false" outlineLevel="0" collapsed="false">
      <c r="A596" s="57" t="n">
        <v>44531</v>
      </c>
      <c r="B596" s="30" t="str">
        <f aca="false">HYPERLINK("https://my.zakupki.prom.ua/remote/dispatcher/state_purchase_view/32411784", "UA-2021-12-01-000580-c")</f>
        <v>UA-2021-12-01-000580-c</v>
      </c>
      <c r="C596" s="31" t="s">
        <v>1880</v>
      </c>
      <c r="D596" s="31" t="s">
        <v>121</v>
      </c>
      <c r="E596" s="31" t="s">
        <v>1614</v>
      </c>
      <c r="F596" s="31" t="s">
        <v>1615</v>
      </c>
      <c r="G596" s="31" t="s">
        <v>150</v>
      </c>
      <c r="H596" s="31" t="s">
        <v>1881</v>
      </c>
      <c r="I596" s="33" t="n">
        <v>8145</v>
      </c>
    </row>
    <row r="597" customFormat="false" ht="46.25" hidden="false" customHeight="false" outlineLevel="0" collapsed="false">
      <c r="A597" s="57" t="n">
        <v>44532</v>
      </c>
      <c r="B597" s="30" t="str">
        <f aca="false">HYPERLINK("https://my.zakupki.prom.ua/remote/dispatcher/state_purchase_view/32468018", "UA-2021-12-02-000209-c")</f>
        <v>UA-2021-12-02-000209-c</v>
      </c>
      <c r="C597" s="31" t="s">
        <v>1882</v>
      </c>
      <c r="D597" s="31" t="s">
        <v>274</v>
      </c>
      <c r="E597" s="31" t="s">
        <v>1614</v>
      </c>
      <c r="F597" s="31" t="s">
        <v>1615</v>
      </c>
      <c r="G597" s="31" t="s">
        <v>68</v>
      </c>
      <c r="H597" s="31" t="s">
        <v>1883</v>
      </c>
      <c r="I597" s="33" t="n">
        <v>250</v>
      </c>
    </row>
    <row r="598" customFormat="false" ht="46.25" hidden="false" customHeight="false" outlineLevel="0" collapsed="false">
      <c r="A598" s="57" t="n">
        <v>44525</v>
      </c>
      <c r="B598" s="30" t="str">
        <f aca="false">HYPERLINK("https://my.zakupki.prom.ua/remote/dispatcher/state_purchase_view/32225756", "UA-2021-11-25-008383-a")</f>
        <v>UA-2021-11-25-008383-a</v>
      </c>
      <c r="C598" s="31" t="s">
        <v>1884</v>
      </c>
      <c r="D598" s="31" t="s">
        <v>318</v>
      </c>
      <c r="E598" s="31" t="s">
        <v>1614</v>
      </c>
      <c r="F598" s="31" t="s">
        <v>1615</v>
      </c>
      <c r="G598" s="31" t="s">
        <v>1885</v>
      </c>
      <c r="H598" s="31" t="s">
        <v>1886</v>
      </c>
      <c r="I598" s="33" t="n">
        <v>850</v>
      </c>
    </row>
    <row r="599" customFormat="false" ht="79.85" hidden="false" customHeight="false" outlineLevel="0" collapsed="false">
      <c r="A599" s="57" t="n">
        <v>44537</v>
      </c>
      <c r="B599" s="30" t="str">
        <f aca="false">HYPERLINK("https://my.zakupki.prom.ua/remote/dispatcher/state_purchase_view/32713192", "UA-2021-12-07-014292-c")</f>
        <v>UA-2021-12-07-014292-c</v>
      </c>
      <c r="C599" s="31" t="s">
        <v>1887</v>
      </c>
      <c r="D599" s="31" t="s">
        <v>1700</v>
      </c>
      <c r="E599" s="31" t="s">
        <v>1614</v>
      </c>
      <c r="F599" s="31" t="s">
        <v>1615</v>
      </c>
      <c r="G599" s="31" t="s">
        <v>1616</v>
      </c>
      <c r="H599" s="31" t="s">
        <v>1888</v>
      </c>
      <c r="I599" s="33" t="n">
        <v>35175.38</v>
      </c>
    </row>
    <row r="600" customFormat="false" ht="57.45" hidden="false" customHeight="false" outlineLevel="0" collapsed="false">
      <c r="A600" s="57" t="n">
        <v>44544</v>
      </c>
      <c r="B600" s="30" t="str">
        <f aca="false">HYPERLINK("https://my.zakupki.prom.ua/remote/dispatcher/state_purchase_view/33062313", "UA-2021-12-14-009993-c")</f>
        <v>UA-2021-12-14-009993-c</v>
      </c>
      <c r="C600" s="31" t="s">
        <v>1889</v>
      </c>
      <c r="D600" s="31" t="s">
        <v>414</v>
      </c>
      <c r="E600" s="31" t="s">
        <v>1614</v>
      </c>
      <c r="F600" s="31" t="s">
        <v>1615</v>
      </c>
      <c r="G600" s="31" t="s">
        <v>119</v>
      </c>
      <c r="H600" s="31" t="s">
        <v>1890</v>
      </c>
      <c r="I600" s="33" t="n">
        <v>6500</v>
      </c>
    </row>
    <row r="601" customFormat="false" ht="57.45" hidden="false" customHeight="false" outlineLevel="0" collapsed="false">
      <c r="A601" s="57" t="n">
        <v>44545</v>
      </c>
      <c r="B601" s="30" t="str">
        <f aca="false">HYPERLINK("https://my.zakupki.prom.ua/remote/dispatcher/state_purchase_view/33166543", "UA-2021-12-15-017774-c")</f>
        <v>UA-2021-12-15-017774-c</v>
      </c>
      <c r="C601" s="31" t="s">
        <v>1720</v>
      </c>
      <c r="D601" s="31" t="s">
        <v>1613</v>
      </c>
      <c r="E601" s="31" t="s">
        <v>1614</v>
      </c>
      <c r="F601" s="31" t="s">
        <v>1615</v>
      </c>
      <c r="G601" s="31" t="s">
        <v>1616</v>
      </c>
      <c r="H601" s="31" t="s">
        <v>1891</v>
      </c>
      <c r="I601" s="33" t="n">
        <v>618.18</v>
      </c>
    </row>
    <row r="602" customFormat="false" ht="57.45" hidden="false" customHeight="false" outlineLevel="0" collapsed="false">
      <c r="A602" s="57" t="n">
        <v>44515</v>
      </c>
      <c r="B602" s="30" t="str">
        <f aca="false">HYPERLINK("https://my.zakupki.prom.ua/remote/dispatcher/state_purchase_view/31766182", "UA-2021-11-15-002541-a")</f>
        <v>UA-2021-11-15-002541-a</v>
      </c>
      <c r="C602" s="31" t="s">
        <v>1892</v>
      </c>
      <c r="D602" s="31" t="s">
        <v>1613</v>
      </c>
      <c r="E602" s="31" t="s">
        <v>1614</v>
      </c>
      <c r="F602" s="31" t="s">
        <v>1615</v>
      </c>
      <c r="G602" s="31" t="s">
        <v>1616</v>
      </c>
      <c r="H602" s="31" t="s">
        <v>1893</v>
      </c>
      <c r="I602" s="33" t="n">
        <v>1210.48</v>
      </c>
    </row>
    <row r="603" customFormat="false" ht="46.25" hidden="false" customHeight="false" outlineLevel="0" collapsed="false">
      <c r="A603" s="57" t="n">
        <v>44515</v>
      </c>
      <c r="B603" s="30" t="str">
        <f aca="false">HYPERLINK("https://my.zakupki.prom.ua/remote/dispatcher/state_purchase_view/31773435", "UA-2021-11-15-004975-a")</f>
        <v>UA-2021-11-15-004975-a</v>
      </c>
      <c r="C603" s="31" t="s">
        <v>1894</v>
      </c>
      <c r="D603" s="31" t="s">
        <v>1895</v>
      </c>
      <c r="E603" s="31" t="s">
        <v>1614</v>
      </c>
      <c r="F603" s="31" t="s">
        <v>1615</v>
      </c>
      <c r="G603" s="31" t="s">
        <v>1782</v>
      </c>
      <c r="H603" s="31" t="s">
        <v>1896</v>
      </c>
      <c r="I603" s="33" t="n">
        <v>35812</v>
      </c>
    </row>
    <row r="604" customFormat="false" ht="57.45" hidden="false" customHeight="false" outlineLevel="0" collapsed="false">
      <c r="A604" s="57" t="n">
        <v>44510</v>
      </c>
      <c r="B604" s="30" t="str">
        <f aca="false">HYPERLINK("https://my.zakupki.prom.ua/remote/dispatcher/state_purchase_view/31645955", "UA-2021-11-10-014605-a")</f>
        <v>UA-2021-11-10-014605-a</v>
      </c>
      <c r="C604" s="31" t="s">
        <v>1897</v>
      </c>
      <c r="D604" s="31" t="s">
        <v>1613</v>
      </c>
      <c r="E604" s="31" t="s">
        <v>1614</v>
      </c>
      <c r="F604" s="31" t="s">
        <v>1615</v>
      </c>
      <c r="G604" s="31" t="s">
        <v>1616</v>
      </c>
      <c r="H604" s="31" t="s">
        <v>1898</v>
      </c>
      <c r="I604" s="33" t="n">
        <v>2538.37</v>
      </c>
    </row>
    <row r="605" customFormat="false" ht="57.45" hidden="false" customHeight="false" outlineLevel="0" collapsed="false">
      <c r="A605" s="57" t="n">
        <v>44511</v>
      </c>
      <c r="B605" s="30" t="str">
        <f aca="false">HYPERLINK("https://my.zakupki.prom.ua/remote/dispatcher/state_purchase_view/31661837", "UA-2021-11-11-002344-a")</f>
        <v>UA-2021-11-11-002344-a</v>
      </c>
      <c r="C605" s="31" t="s">
        <v>1899</v>
      </c>
      <c r="D605" s="31" t="s">
        <v>1613</v>
      </c>
      <c r="E605" s="31" t="s">
        <v>1614</v>
      </c>
      <c r="F605" s="31" t="s">
        <v>1615</v>
      </c>
      <c r="G605" s="31" t="s">
        <v>1616</v>
      </c>
      <c r="H605" s="31" t="s">
        <v>1900</v>
      </c>
      <c r="I605" s="33" t="n">
        <v>3632.21</v>
      </c>
    </row>
    <row r="606" customFormat="false" ht="46.25" hidden="false" customHeight="false" outlineLevel="0" collapsed="false">
      <c r="A606" s="57" t="n">
        <v>44517</v>
      </c>
      <c r="B606" s="30" t="str">
        <f aca="false">HYPERLINK("https://my.zakupki.prom.ua/remote/dispatcher/state_purchase_view/31891989", "UA-2021-11-17-008162-a")</f>
        <v>UA-2021-11-17-008162-a</v>
      </c>
      <c r="C606" s="31" t="s">
        <v>1748</v>
      </c>
      <c r="D606" s="31" t="s">
        <v>1901</v>
      </c>
      <c r="E606" s="31" t="s">
        <v>1614</v>
      </c>
      <c r="F606" s="31" t="s">
        <v>1615</v>
      </c>
      <c r="G606" s="31" t="s">
        <v>1902</v>
      </c>
      <c r="H606" s="31" t="s">
        <v>1903</v>
      </c>
      <c r="I606" s="33" t="n">
        <v>1541</v>
      </c>
    </row>
    <row r="607" customFormat="false" ht="46.25" hidden="false" customHeight="false" outlineLevel="0" collapsed="false">
      <c r="A607" s="57" t="n">
        <v>44519</v>
      </c>
      <c r="B607" s="30" t="str">
        <f aca="false">HYPERLINK("https://my.zakupki.prom.ua/remote/dispatcher/state_purchase_view/31998943", "UA-2021-11-19-007335-a")</f>
        <v>UA-2021-11-19-007335-a</v>
      </c>
      <c r="C607" s="31" t="s">
        <v>1725</v>
      </c>
      <c r="D607" s="31" t="s">
        <v>1726</v>
      </c>
      <c r="E607" s="31" t="s">
        <v>1614</v>
      </c>
      <c r="F607" s="31" t="s">
        <v>1615</v>
      </c>
      <c r="G607" s="31" t="s">
        <v>150</v>
      </c>
      <c r="H607" s="31" t="s">
        <v>1904</v>
      </c>
      <c r="I607" s="33" t="n">
        <v>9000</v>
      </c>
    </row>
    <row r="608" customFormat="false" ht="57.45" hidden="false" customHeight="false" outlineLevel="0" collapsed="false">
      <c r="A608" s="57" t="n">
        <v>44515</v>
      </c>
      <c r="B608" s="30" t="str">
        <f aca="false">HYPERLINK("https://my.zakupki.prom.ua/remote/dispatcher/state_purchase_view/31760627", "UA-2021-11-15-000642-a")</f>
        <v>UA-2021-11-15-000642-a</v>
      </c>
      <c r="C608" s="31" t="s">
        <v>1905</v>
      </c>
      <c r="D608" s="31" t="s">
        <v>495</v>
      </c>
      <c r="E608" s="31" t="s">
        <v>1614</v>
      </c>
      <c r="F608" s="31" t="s">
        <v>1615</v>
      </c>
      <c r="G608" s="31" t="s">
        <v>1616</v>
      </c>
      <c r="H608" s="31" t="s">
        <v>1906</v>
      </c>
      <c r="I608" s="33" t="n">
        <v>10922.66</v>
      </c>
    </row>
    <row r="609" customFormat="false" ht="46.25" hidden="false" customHeight="false" outlineLevel="0" collapsed="false">
      <c r="A609" s="57" t="n">
        <v>44519</v>
      </c>
      <c r="B609" s="30" t="str">
        <f aca="false">HYPERLINK("https://my.zakupki.prom.ua/remote/dispatcher/state_purchase_view/31975588", "UA-2021-11-19-000816-a")</f>
        <v>UA-2021-11-19-000816-a</v>
      </c>
      <c r="C609" s="31" t="s">
        <v>1907</v>
      </c>
      <c r="D609" s="31" t="s">
        <v>226</v>
      </c>
      <c r="E609" s="31" t="s">
        <v>1614</v>
      </c>
      <c r="F609" s="31" t="s">
        <v>1615</v>
      </c>
      <c r="G609" s="31" t="s">
        <v>1908</v>
      </c>
      <c r="H609" s="31" t="s">
        <v>1909</v>
      </c>
      <c r="I609" s="33" t="n">
        <v>4500</v>
      </c>
    </row>
    <row r="610" customFormat="false" ht="46.25" hidden="false" customHeight="false" outlineLevel="0" collapsed="false">
      <c r="A610" s="57" t="n">
        <v>44517</v>
      </c>
      <c r="B610" s="30" t="str">
        <f aca="false">HYPERLINK("https://my.zakupki.prom.ua/remote/dispatcher/state_purchase_view/31890920", "UA-2021-11-17-007859-a")</f>
        <v>UA-2021-11-17-007859-a</v>
      </c>
      <c r="C610" s="31" t="s">
        <v>1910</v>
      </c>
      <c r="D610" s="31" t="s">
        <v>463</v>
      </c>
      <c r="E610" s="31" t="s">
        <v>1614</v>
      </c>
      <c r="F610" s="31" t="s">
        <v>1615</v>
      </c>
      <c r="G610" s="31" t="s">
        <v>1671</v>
      </c>
      <c r="H610" s="31" t="s">
        <v>1911</v>
      </c>
      <c r="I610" s="33" t="n">
        <v>2992.5</v>
      </c>
    </row>
    <row r="611" customFormat="false" ht="46.25" hidden="false" customHeight="false" outlineLevel="0" collapsed="false">
      <c r="A611" s="57" t="n">
        <v>44481</v>
      </c>
      <c r="B611" s="30" t="str">
        <f aca="false">HYPERLINK("https://my.zakupki.prom.ua/remote/dispatcher/state_purchase_view/30716298", "UA-2021-10-12-006275-b")</f>
        <v>UA-2021-10-12-006275-b</v>
      </c>
      <c r="C611" s="31" t="s">
        <v>1912</v>
      </c>
      <c r="D611" s="31" t="s">
        <v>125</v>
      </c>
      <c r="E611" s="31" t="s">
        <v>1614</v>
      </c>
      <c r="F611" s="31" t="s">
        <v>1615</v>
      </c>
      <c r="G611" s="31" t="s">
        <v>1865</v>
      </c>
      <c r="H611" s="31" t="s">
        <v>1913</v>
      </c>
      <c r="I611" s="33" t="n">
        <v>1200</v>
      </c>
    </row>
    <row r="612" customFormat="false" ht="46.25" hidden="false" customHeight="false" outlineLevel="0" collapsed="false">
      <c r="A612" s="57" t="n">
        <v>44470</v>
      </c>
      <c r="B612" s="30" t="str">
        <f aca="false">HYPERLINK("https://my.zakupki.prom.ua/remote/dispatcher/state_purchase_view/30408295", "UA-2021-10-01-005323-b")</f>
        <v>UA-2021-10-01-005323-b</v>
      </c>
      <c r="C612" s="31" t="s">
        <v>1914</v>
      </c>
      <c r="D612" s="31" t="s">
        <v>128</v>
      </c>
      <c r="E612" s="31" t="s">
        <v>1614</v>
      </c>
      <c r="F612" s="31" t="s">
        <v>1615</v>
      </c>
      <c r="G612" s="31" t="s">
        <v>80</v>
      </c>
      <c r="H612" s="31" t="s">
        <v>1915</v>
      </c>
      <c r="I612" s="33" t="n">
        <v>2900</v>
      </c>
    </row>
    <row r="613" customFormat="false" ht="57.45" hidden="false" customHeight="false" outlineLevel="0" collapsed="false">
      <c r="A613" s="57" t="n">
        <v>44550</v>
      </c>
      <c r="B613" s="30" t="str">
        <f aca="false">HYPERLINK("https://my.zakupki.prom.ua/remote/dispatcher/state_purchase_view/33401753", "UA-2021-12-20-013067-c")</f>
        <v>UA-2021-12-20-013067-c</v>
      </c>
      <c r="C613" s="31" t="s">
        <v>1916</v>
      </c>
      <c r="D613" s="31" t="s">
        <v>1622</v>
      </c>
      <c r="E613" s="31" t="s">
        <v>1614</v>
      </c>
      <c r="F613" s="31" t="s">
        <v>1615</v>
      </c>
      <c r="G613" s="31" t="s">
        <v>1616</v>
      </c>
      <c r="H613" s="31" t="s">
        <v>1917</v>
      </c>
      <c r="I613" s="33" t="n">
        <v>5286</v>
      </c>
    </row>
    <row r="614" customFormat="false" ht="46.25" hidden="false" customHeight="false" outlineLevel="0" collapsed="false">
      <c r="A614" s="57" t="n">
        <v>44510</v>
      </c>
      <c r="B614" s="30" t="str">
        <f aca="false">HYPERLINK("https://my.zakupki.prom.ua/remote/dispatcher/state_purchase_view/31627754", "UA-2021-11-10-008304-a")</f>
        <v>UA-2021-11-10-008304-a</v>
      </c>
      <c r="C614" s="31" t="s">
        <v>1918</v>
      </c>
      <c r="D614" s="31" t="s">
        <v>26</v>
      </c>
      <c r="E614" s="31" t="s">
        <v>1614</v>
      </c>
      <c r="F614" s="31" t="s">
        <v>1615</v>
      </c>
      <c r="G614" s="31" t="s">
        <v>80</v>
      </c>
      <c r="H614" s="31" t="s">
        <v>1919</v>
      </c>
      <c r="I614" s="33" t="n">
        <v>2998</v>
      </c>
    </row>
    <row r="615" customFormat="false" ht="57.45" hidden="false" customHeight="false" outlineLevel="0" collapsed="false">
      <c r="A615" s="57" t="n">
        <v>44523</v>
      </c>
      <c r="B615" s="30" t="str">
        <f aca="false">HYPERLINK("https://my.zakupki.prom.ua/remote/dispatcher/state_purchase_view/32124006", "UA-2021-11-23-014097-a")</f>
        <v>UA-2021-11-23-014097-a</v>
      </c>
      <c r="C615" s="31" t="s">
        <v>1920</v>
      </c>
      <c r="D615" s="31" t="s">
        <v>232</v>
      </c>
      <c r="E615" s="31" t="s">
        <v>1614</v>
      </c>
      <c r="F615" s="31" t="s">
        <v>1615</v>
      </c>
      <c r="G615" s="31" t="s">
        <v>1921</v>
      </c>
      <c r="H615" s="31" t="s">
        <v>1922</v>
      </c>
      <c r="I615" s="33" t="n">
        <v>9399</v>
      </c>
    </row>
    <row r="616" customFormat="false" ht="68.65" hidden="false" customHeight="false" outlineLevel="0" collapsed="false">
      <c r="A616" s="57" t="n">
        <v>44476</v>
      </c>
      <c r="B616" s="30" t="str">
        <f aca="false">HYPERLINK("https://my.zakupki.prom.ua/remote/dispatcher/state_purchase_view/30562055", "UA-2021-10-07-001427-b")</f>
        <v>UA-2021-10-07-001427-b</v>
      </c>
      <c r="C616" s="31" t="s">
        <v>1923</v>
      </c>
      <c r="D616" s="31" t="s">
        <v>1622</v>
      </c>
      <c r="E616" s="31" t="s">
        <v>1614</v>
      </c>
      <c r="F616" s="31" t="s">
        <v>1615</v>
      </c>
      <c r="G616" s="31" t="s">
        <v>1616</v>
      </c>
      <c r="H616" s="31" t="s">
        <v>1924</v>
      </c>
      <c r="I616" s="33" t="n">
        <v>37980.85</v>
      </c>
    </row>
    <row r="617" customFormat="false" ht="46.25" hidden="false" customHeight="false" outlineLevel="0" collapsed="false">
      <c r="A617" s="57" t="n">
        <v>44480</v>
      </c>
      <c r="B617" s="30" t="str">
        <f aca="false">HYPERLINK("https://my.zakupki.prom.ua/remote/dispatcher/state_purchase_view/30658776", "UA-2021-10-11-002882-b")</f>
        <v>UA-2021-10-11-002882-b</v>
      </c>
      <c r="C617" s="31" t="s">
        <v>1925</v>
      </c>
      <c r="D617" s="31" t="s">
        <v>1926</v>
      </c>
      <c r="E617" s="31" t="s">
        <v>1614</v>
      </c>
      <c r="F617" s="31" t="s">
        <v>1615</v>
      </c>
      <c r="G617" s="31" t="s">
        <v>80</v>
      </c>
      <c r="H617" s="31" t="s">
        <v>1927</v>
      </c>
      <c r="I617" s="33" t="n">
        <v>8700</v>
      </c>
    </row>
    <row r="618" customFormat="false" ht="68.65" hidden="false" customHeight="false" outlineLevel="0" collapsed="false">
      <c r="A618" s="57" t="n">
        <v>44476</v>
      </c>
      <c r="B618" s="30" t="str">
        <f aca="false">HYPERLINK("https://my.zakupki.prom.ua/remote/dispatcher/state_purchase_view/30579720", "UA-2021-10-07-007678-b")</f>
        <v>UA-2021-10-07-007678-b</v>
      </c>
      <c r="C618" s="31" t="s">
        <v>1928</v>
      </c>
      <c r="D618" s="31" t="s">
        <v>1820</v>
      </c>
      <c r="E618" s="31" t="s">
        <v>1614</v>
      </c>
      <c r="F618" s="31" t="s">
        <v>1615</v>
      </c>
      <c r="G618" s="31" t="s">
        <v>1929</v>
      </c>
      <c r="H618" s="31" t="s">
        <v>1930</v>
      </c>
      <c r="I618" s="33" t="n">
        <v>34215.48</v>
      </c>
    </row>
    <row r="619" customFormat="false" ht="57.45" hidden="false" customHeight="false" outlineLevel="0" collapsed="false">
      <c r="A619" s="57" t="n">
        <v>44545</v>
      </c>
      <c r="B619" s="30" t="str">
        <f aca="false">HYPERLINK("https://my.zakupki.prom.ua/remote/dispatcher/state_purchase_view/33177579", "UA-2021-12-15-021076-c")</f>
        <v>UA-2021-12-15-021076-c</v>
      </c>
      <c r="C619" s="31" t="s">
        <v>1931</v>
      </c>
      <c r="D619" s="31" t="s">
        <v>1613</v>
      </c>
      <c r="E619" s="31" t="s">
        <v>1614</v>
      </c>
      <c r="F619" s="31" t="s">
        <v>1615</v>
      </c>
      <c r="G619" s="31" t="s">
        <v>1616</v>
      </c>
      <c r="H619" s="31" t="s">
        <v>1932</v>
      </c>
      <c r="I619" s="33" t="n">
        <v>1568.43</v>
      </c>
    </row>
    <row r="620" customFormat="false" ht="46.25" hidden="false" customHeight="false" outlineLevel="0" collapsed="false">
      <c r="A620" s="57" t="n">
        <v>44531</v>
      </c>
      <c r="B620" s="30" t="str">
        <f aca="false">HYPERLINK("https://my.zakupki.prom.ua/remote/dispatcher/state_purchase_view/32412385", "UA-2021-12-01-000720-c")</f>
        <v>UA-2021-12-01-000720-c</v>
      </c>
      <c r="C620" s="31" t="s">
        <v>1933</v>
      </c>
      <c r="D620" s="31" t="s">
        <v>128</v>
      </c>
      <c r="E620" s="31" t="s">
        <v>1614</v>
      </c>
      <c r="F620" s="31" t="s">
        <v>1615</v>
      </c>
      <c r="G620" s="31" t="s">
        <v>150</v>
      </c>
      <c r="H620" s="31" t="s">
        <v>1934</v>
      </c>
      <c r="I620" s="33" t="n">
        <v>336.5</v>
      </c>
    </row>
    <row r="621" customFormat="false" ht="46.25" hidden="false" customHeight="false" outlineLevel="0" collapsed="false">
      <c r="A621" s="57" t="n">
        <v>44522</v>
      </c>
      <c r="B621" s="30" t="str">
        <f aca="false">HYPERLINK("https://my.zakupki.prom.ua/remote/dispatcher/state_purchase_view/32046087", "UA-2021-11-22-004919-a")</f>
        <v>UA-2021-11-22-004919-a</v>
      </c>
      <c r="C621" s="31" t="s">
        <v>1935</v>
      </c>
      <c r="D621" s="31" t="s">
        <v>1270</v>
      </c>
      <c r="E621" s="31" t="s">
        <v>1614</v>
      </c>
      <c r="F621" s="31" t="s">
        <v>1615</v>
      </c>
      <c r="G621" s="31" t="s">
        <v>1729</v>
      </c>
      <c r="H621" s="31" t="s">
        <v>1936</v>
      </c>
      <c r="I621" s="33" t="n">
        <v>31290</v>
      </c>
    </row>
    <row r="622" customFormat="false" ht="46.25" hidden="false" customHeight="false" outlineLevel="0" collapsed="false">
      <c r="A622" s="57" t="n">
        <v>44488</v>
      </c>
      <c r="B622" s="30" t="str">
        <f aca="false">HYPERLINK("https://my.zakupki.prom.ua/remote/dispatcher/state_purchase_view/30845222", "UA-2021-10-19-001878-c")</f>
        <v>UA-2021-10-19-001878-c</v>
      </c>
      <c r="C622" s="31" t="s">
        <v>1937</v>
      </c>
      <c r="D622" s="31" t="s">
        <v>1938</v>
      </c>
      <c r="E622" s="31" t="s">
        <v>1614</v>
      </c>
      <c r="F622" s="31" t="s">
        <v>1615</v>
      </c>
      <c r="G622" s="31" t="s">
        <v>734</v>
      </c>
      <c r="H622" s="31" t="s">
        <v>1939</v>
      </c>
      <c r="I622" s="33" t="n">
        <v>25906.5</v>
      </c>
    </row>
    <row r="623" customFormat="false" ht="46.25" hidden="false" customHeight="false" outlineLevel="0" collapsed="false">
      <c r="A623" s="57" t="n">
        <v>44480</v>
      </c>
      <c r="B623" s="30" t="str">
        <f aca="false">HYPERLINK("https://my.zakupki.prom.ua/remote/dispatcher/state_purchase_view/30676339", "UA-2021-10-11-007761-b")</f>
        <v>UA-2021-10-11-007761-b</v>
      </c>
      <c r="C623" s="31" t="s">
        <v>1940</v>
      </c>
      <c r="D623" s="31" t="s">
        <v>1713</v>
      </c>
      <c r="E623" s="31" t="s">
        <v>1614</v>
      </c>
      <c r="F623" s="31" t="s">
        <v>1615</v>
      </c>
      <c r="G623" s="31" t="s">
        <v>1941</v>
      </c>
      <c r="H623" s="31" t="s">
        <v>1942</v>
      </c>
      <c r="I623" s="33" t="n">
        <v>250</v>
      </c>
    </row>
    <row r="624" customFormat="false" ht="57.45" hidden="false" customHeight="false" outlineLevel="0" collapsed="false">
      <c r="A624" s="57" t="n">
        <v>44547</v>
      </c>
      <c r="B624" s="30" t="str">
        <f aca="false">HYPERLINK("https://my.zakupki.prom.ua/remote/dispatcher/state_purchase_view/33313600", "UA-2021-12-17-013217-c")</f>
        <v>UA-2021-12-17-013217-c</v>
      </c>
      <c r="C624" s="31" t="s">
        <v>1943</v>
      </c>
      <c r="D624" s="31" t="s">
        <v>1622</v>
      </c>
      <c r="E624" s="31" t="s">
        <v>1614</v>
      </c>
      <c r="F624" s="31" t="s">
        <v>1615</v>
      </c>
      <c r="G624" s="31" t="s">
        <v>1944</v>
      </c>
      <c r="H624" s="31" t="s">
        <v>1945</v>
      </c>
      <c r="I624" s="33" t="n">
        <v>26895.41</v>
      </c>
    </row>
    <row r="625" customFormat="false" ht="57.45" hidden="false" customHeight="false" outlineLevel="0" collapsed="false">
      <c r="A625" s="57" t="n">
        <v>44547</v>
      </c>
      <c r="B625" s="30" t="str">
        <f aca="false">HYPERLINK("https://my.zakupki.prom.ua/remote/dispatcher/state_purchase_view/33317586", "UA-2021-12-17-014383-c")</f>
        <v>UA-2021-12-17-014383-c</v>
      </c>
      <c r="C625" s="31" t="s">
        <v>1946</v>
      </c>
      <c r="D625" s="31" t="s">
        <v>1613</v>
      </c>
      <c r="E625" s="31" t="s">
        <v>1614</v>
      </c>
      <c r="F625" s="31" t="s">
        <v>1615</v>
      </c>
      <c r="G625" s="31" t="s">
        <v>1616</v>
      </c>
      <c r="H625" s="31" t="s">
        <v>1947</v>
      </c>
      <c r="I625" s="33" t="n">
        <v>3079.4</v>
      </c>
    </row>
    <row r="626" customFormat="false" ht="46.25" hidden="false" customHeight="false" outlineLevel="0" collapsed="false">
      <c r="A626" s="38" t="n">
        <v>44475</v>
      </c>
      <c r="B626" s="58" t="s">
        <v>1948</v>
      </c>
      <c r="C626" s="39" t="s">
        <v>1949</v>
      </c>
      <c r="D626" s="39" t="s">
        <v>1950</v>
      </c>
      <c r="E626" s="39" t="s">
        <v>1951</v>
      </c>
      <c r="F626" s="39" t="s">
        <v>1952</v>
      </c>
      <c r="G626" s="39" t="s">
        <v>1953</v>
      </c>
      <c r="H626" s="39" t="s">
        <v>1954</v>
      </c>
      <c r="I626" s="40" t="n">
        <v>650</v>
      </c>
    </row>
    <row r="627" customFormat="false" ht="57.45" hidden="false" customHeight="false" outlineLevel="0" collapsed="false">
      <c r="A627" s="38" t="n">
        <v>44494</v>
      </c>
      <c r="B627" s="58" t="s">
        <v>1955</v>
      </c>
      <c r="C627" s="39" t="s">
        <v>1956</v>
      </c>
      <c r="D627" s="39" t="s">
        <v>1957</v>
      </c>
      <c r="E627" s="39" t="s">
        <v>1951</v>
      </c>
      <c r="F627" s="39" t="s">
        <v>1958</v>
      </c>
      <c r="G627" s="39" t="s">
        <v>1959</v>
      </c>
      <c r="H627" s="39" t="s">
        <v>677</v>
      </c>
      <c r="I627" s="40" t="n">
        <v>1111</v>
      </c>
    </row>
    <row r="628" customFormat="false" ht="23.85" hidden="false" customHeight="false" outlineLevel="0" collapsed="false">
      <c r="A628" s="38" t="n">
        <v>44498</v>
      </c>
      <c r="B628" s="58" t="s">
        <v>1960</v>
      </c>
      <c r="C628" s="39" t="s">
        <v>446</v>
      </c>
      <c r="D628" s="39" t="s">
        <v>1961</v>
      </c>
      <c r="E628" s="39" t="s">
        <v>1951</v>
      </c>
      <c r="F628" s="39" t="s">
        <v>1962</v>
      </c>
      <c r="G628" s="39" t="s">
        <v>1963</v>
      </c>
      <c r="H628" s="39" t="s">
        <v>449</v>
      </c>
      <c r="I628" s="40" t="n">
        <v>19998.13</v>
      </c>
    </row>
    <row r="629" customFormat="false" ht="35.05" hidden="false" customHeight="false" outlineLevel="0" collapsed="false">
      <c r="A629" s="38" t="n">
        <v>44524</v>
      </c>
      <c r="B629" s="58" t="s">
        <v>1964</v>
      </c>
      <c r="C629" s="39" t="s">
        <v>1965</v>
      </c>
      <c r="D629" s="39" t="s">
        <v>1966</v>
      </c>
      <c r="E629" s="39" t="s">
        <v>1951</v>
      </c>
      <c r="F629" s="39" t="s">
        <v>1967</v>
      </c>
      <c r="G629" s="39" t="s">
        <v>1968</v>
      </c>
      <c r="H629" s="39" t="s">
        <v>1969</v>
      </c>
      <c r="I629" s="40" t="n">
        <v>2718</v>
      </c>
    </row>
    <row r="630" customFormat="false" ht="35.05" hidden="false" customHeight="false" outlineLevel="0" collapsed="false">
      <c r="A630" s="38" t="n">
        <v>44552</v>
      </c>
      <c r="B630" s="58" t="s">
        <v>1970</v>
      </c>
      <c r="C630" s="39" t="s">
        <v>446</v>
      </c>
      <c r="D630" s="39" t="s">
        <v>1961</v>
      </c>
      <c r="E630" s="39" t="s">
        <v>1951</v>
      </c>
      <c r="F630" s="39" t="s">
        <v>1971</v>
      </c>
      <c r="G630" s="39" t="s">
        <v>1972</v>
      </c>
      <c r="H630" s="39" t="s">
        <v>449</v>
      </c>
      <c r="I630" s="40" t="n">
        <v>17454.53</v>
      </c>
    </row>
    <row r="631" customFormat="false" ht="23.85" hidden="false" customHeight="false" outlineLevel="0" collapsed="false">
      <c r="A631" s="38" t="n">
        <v>44553</v>
      </c>
      <c r="B631" s="58" t="s">
        <v>1973</v>
      </c>
      <c r="C631" s="39" t="s">
        <v>1974</v>
      </c>
      <c r="D631" s="39" t="s">
        <v>1975</v>
      </c>
      <c r="E631" s="39" t="s">
        <v>1951</v>
      </c>
      <c r="F631" s="39" t="s">
        <v>1971</v>
      </c>
      <c r="G631" s="39" t="s">
        <v>1976</v>
      </c>
      <c r="H631" s="39" t="s">
        <v>1977</v>
      </c>
      <c r="I631" s="40" t="n">
        <v>10500</v>
      </c>
    </row>
    <row r="632" customFormat="false" ht="35.05" hidden="false" customHeight="false" outlineLevel="0" collapsed="false">
      <c r="A632" s="39" t="s">
        <v>1365</v>
      </c>
      <c r="B632" s="43" t="s">
        <v>1978</v>
      </c>
      <c r="C632" s="59" t="s">
        <v>588</v>
      </c>
      <c r="D632" s="60" t="s">
        <v>1011</v>
      </c>
      <c r="E632" s="50" t="s">
        <v>1979</v>
      </c>
      <c r="F632" s="50" t="s">
        <v>1980</v>
      </c>
      <c r="G632" s="32" t="s">
        <v>1012</v>
      </c>
      <c r="H632" s="32" t="n">
        <v>31277213</v>
      </c>
      <c r="I632" s="49" t="s">
        <v>1981</v>
      </c>
    </row>
    <row r="633" customFormat="false" ht="35.05" hidden="false" customHeight="false" outlineLevel="0" collapsed="false">
      <c r="A633" s="38" t="n">
        <v>44523</v>
      </c>
      <c r="B633" s="49" t="s">
        <v>1982</v>
      </c>
      <c r="C633" s="59" t="s">
        <v>588</v>
      </c>
      <c r="D633" s="60" t="s">
        <v>1019</v>
      </c>
      <c r="E633" s="50" t="s">
        <v>1979</v>
      </c>
      <c r="F633" s="50" t="s">
        <v>1980</v>
      </c>
      <c r="G633" s="39" t="s">
        <v>1115</v>
      </c>
      <c r="H633" s="39" t="s">
        <v>1236</v>
      </c>
      <c r="I633" s="40" t="n">
        <v>1213</v>
      </c>
    </row>
    <row r="634" customFormat="false" ht="35.05" hidden="false" customHeight="false" outlineLevel="0" collapsed="false">
      <c r="A634" s="38" t="n">
        <v>44523</v>
      </c>
      <c r="B634" s="49" t="s">
        <v>1983</v>
      </c>
      <c r="C634" s="59" t="s">
        <v>588</v>
      </c>
      <c r="D634" s="60" t="s">
        <v>1984</v>
      </c>
      <c r="E634" s="50" t="s">
        <v>1979</v>
      </c>
      <c r="F634" s="50" t="s">
        <v>1980</v>
      </c>
      <c r="G634" s="39" t="s">
        <v>1115</v>
      </c>
      <c r="H634" s="39" t="s">
        <v>1236</v>
      </c>
      <c r="I634" s="40" t="n">
        <v>387.5</v>
      </c>
    </row>
    <row r="635" customFormat="false" ht="35.05" hidden="false" customHeight="false" outlineLevel="0" collapsed="false">
      <c r="A635" s="38" t="n">
        <v>44531</v>
      </c>
      <c r="B635" s="49" t="s">
        <v>1985</v>
      </c>
      <c r="C635" s="59" t="s">
        <v>588</v>
      </c>
      <c r="D635" s="60" t="s">
        <v>585</v>
      </c>
      <c r="E635" s="50" t="s">
        <v>1979</v>
      </c>
      <c r="F635" s="50" t="s">
        <v>1980</v>
      </c>
      <c r="G635" s="39" t="s">
        <v>1986</v>
      </c>
      <c r="H635" s="39" t="s">
        <v>1265</v>
      </c>
      <c r="I635" s="40" t="n">
        <v>25300</v>
      </c>
    </row>
    <row r="636" customFormat="false" ht="57.45" hidden="false" customHeight="false" outlineLevel="0" collapsed="false">
      <c r="A636" s="61" t="n">
        <v>44491</v>
      </c>
      <c r="B636" s="62" t="str">
        <f aca="false">HYPERLINK("https://my.zakupki.prom.ua/remote/dispatcher/state_purchase_view/30986468", "UA-2021-10-22-000948-b")</f>
        <v>UA-2021-10-22-000948-b</v>
      </c>
      <c r="C636" s="63" t="s">
        <v>588</v>
      </c>
      <c r="D636" s="64" t="s">
        <v>424</v>
      </c>
      <c r="E636" s="64" t="s">
        <v>1987</v>
      </c>
      <c r="F636" s="63" t="s">
        <v>1988</v>
      </c>
      <c r="G636" s="64" t="s">
        <v>453</v>
      </c>
      <c r="H636" s="64" t="s">
        <v>454</v>
      </c>
      <c r="I636" s="65" t="n">
        <v>6694.14</v>
      </c>
    </row>
    <row r="637" customFormat="false" ht="57.45" hidden="false" customHeight="false" outlineLevel="0" collapsed="false">
      <c r="A637" s="61" t="n">
        <v>44505</v>
      </c>
      <c r="B637" s="62" t="str">
        <f aca="false">HYPERLINK("https://my.zakupki.prom.ua/remote/dispatcher/state_purchase_view/31458078", "UA-2021-11-05-000870-b")</f>
        <v>UA-2021-11-05-000870-b</v>
      </c>
      <c r="C637" s="63" t="s">
        <v>588</v>
      </c>
      <c r="D637" s="64" t="s">
        <v>463</v>
      </c>
      <c r="E637" s="64" t="s">
        <v>1987</v>
      </c>
      <c r="F637" s="63" t="s">
        <v>1988</v>
      </c>
      <c r="G637" s="64" t="s">
        <v>325</v>
      </c>
      <c r="H637" s="64" t="s">
        <v>164</v>
      </c>
      <c r="I637" s="65" t="n">
        <v>250</v>
      </c>
    </row>
    <row r="638" customFormat="false" ht="57.45" hidden="false" customHeight="false" outlineLevel="0" collapsed="false">
      <c r="A638" s="61" t="n">
        <v>44505</v>
      </c>
      <c r="B638" s="62" t="str">
        <f aca="false">HYPERLINK("https://my.zakupki.prom.ua/remote/dispatcher/state_purchase_view/31457963", "UA-2021-11-05-000781-b")</f>
        <v>UA-2021-11-05-000781-b</v>
      </c>
      <c r="C638" s="63" t="s">
        <v>588</v>
      </c>
      <c r="D638" s="64" t="s">
        <v>130</v>
      </c>
      <c r="E638" s="64" t="s">
        <v>1987</v>
      </c>
      <c r="F638" s="63" t="s">
        <v>1988</v>
      </c>
      <c r="G638" s="64" t="s">
        <v>325</v>
      </c>
      <c r="H638" s="64" t="s">
        <v>164</v>
      </c>
      <c r="I638" s="65" t="n">
        <v>2750</v>
      </c>
    </row>
    <row r="639" customFormat="false" ht="57.45" hidden="false" customHeight="false" outlineLevel="0" collapsed="false">
      <c r="A639" s="66" t="n">
        <v>44539</v>
      </c>
      <c r="B639" s="62" t="str">
        <f aca="false">HYPERLINK("https://my.zakupki.prom.ua/remote/dispatcher/state_purchase_view/32847399", "UA-2021-12-09-012675-c")</f>
        <v>UA-2021-12-09-012675-c</v>
      </c>
      <c r="C639" s="63" t="s">
        <v>588</v>
      </c>
      <c r="D639" s="64" t="s">
        <v>330</v>
      </c>
      <c r="E639" s="64" t="s">
        <v>1987</v>
      </c>
      <c r="F639" s="63" t="s">
        <v>1988</v>
      </c>
      <c r="G639" s="64" t="s">
        <v>264</v>
      </c>
      <c r="H639" s="64" t="s">
        <v>265</v>
      </c>
      <c r="I639" s="65" t="n">
        <v>11100</v>
      </c>
    </row>
    <row r="640" customFormat="false" ht="57.45" hidden="false" customHeight="false" outlineLevel="0" collapsed="false">
      <c r="A640" s="66" t="n">
        <v>44547</v>
      </c>
      <c r="B640" s="62" t="str">
        <f aca="false">HYPERLINK("https://my.zakupki.prom.ua/remote/dispatcher/state_purchase_view/33325819", "UA-2021-12-17-016823-c")</f>
        <v>UA-2021-12-17-016823-c</v>
      </c>
      <c r="C640" s="63" t="s">
        <v>588</v>
      </c>
      <c r="D640" s="64" t="s">
        <v>198</v>
      </c>
      <c r="E640" s="64" t="s">
        <v>1987</v>
      </c>
      <c r="F640" s="63" t="s">
        <v>1988</v>
      </c>
      <c r="G640" s="64" t="s">
        <v>1256</v>
      </c>
      <c r="H640" s="64" t="s">
        <v>1257</v>
      </c>
      <c r="I640" s="65" t="n">
        <v>760</v>
      </c>
    </row>
    <row r="641" customFormat="false" ht="57.45" hidden="false" customHeight="false" outlineLevel="0" collapsed="false">
      <c r="A641" s="66" t="n">
        <v>44547</v>
      </c>
      <c r="B641" s="62" t="str">
        <f aca="false">HYPERLINK("https://my.zakupki.prom.ua/remote/dispatcher/state_purchase_view/33325416", "UA-2021-12-17-016690-c")</f>
        <v>UA-2021-12-17-016690-c</v>
      </c>
      <c r="C641" s="63" t="s">
        <v>588</v>
      </c>
      <c r="D641" s="64" t="s">
        <v>1989</v>
      </c>
      <c r="E641" s="64" t="s">
        <v>1987</v>
      </c>
      <c r="F641" s="63" t="s">
        <v>1988</v>
      </c>
      <c r="G641" s="64" t="s">
        <v>1256</v>
      </c>
      <c r="H641" s="64" t="s">
        <v>1257</v>
      </c>
      <c r="I641" s="65" t="n">
        <v>1430</v>
      </c>
    </row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4:I4"/>
  <mergeCells count="1">
    <mergeCell ref="A2:I2"/>
  </mergeCells>
  <hyperlinks>
    <hyperlink ref="B174" r:id="rId1" display=" UA-2021-11-25-000599-c"/>
    <hyperlink ref="G174" r:id="rId2" display="Міське комунальне підприємство &quot;Покровське виробниче управління водопровідно-каналізаційного господарства&quot;"/>
    <hyperlink ref="B632" r:id="rId3" display="UA-2021-11-30-010524-c"/>
  </hyperlinks>
  <printOptions headings="false" gridLines="false" gridLinesSet="true" horizontalCentered="false" verticalCentered="false"/>
  <pageMargins left="0.39375" right="0.325694444444444" top="1.05277777777778" bottom="1.05277777777778" header="0.7875" footer="0.7875"/>
  <pageSetup paperSize="9" scale="81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Roman,Звичайний"&amp;12Страница &amp;P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172</TotalTime>
  <Application>LibreOffice/6.1.4.2$Windows_x86 LibreOffice_project/9d0f32d1f0b509096fd65e0d4bec26ddd1938fd3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2019-10-25T08:22:05Z</dcterms:created>
  <dc:creator>Заєць Сергій Вікторович</dc:creator>
  <dc:description/>
  <dc:language>ru-RU</dc:language>
  <cp:lastModifiedBy/>
  <dcterms:modified xsi:type="dcterms:W3CDTF">2022-01-06T14:18:01Z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ntentTypeId">
    <vt:lpwstr>0x01010079328EEC93ABA744A93A4C3D4B9286A9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