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or2cu2\общая\ВИКОНКОМ\Виконком\2023\Липень\сайт\"/>
    </mc:Choice>
  </mc:AlternateContent>
  <bookViews>
    <workbookView xWindow="0" yWindow="0" windowWidth="28800" windowHeight="12330" tabRatio="863" firstSheet="1" activeTab="1"/>
  </bookViews>
  <sheets>
    <sheet name="водопостачання тех" sheetId="15" state="hidden" r:id="rId1"/>
    <sheet name="погодження ШР на 2023 рік" sheetId="19" r:id="rId2"/>
    <sheet name="зарплата 1-6" sheetId="6" state="hidden" r:id="rId3"/>
    <sheet name="зарплата 7-11" sheetId="12" state="hidden" r:id="rId4"/>
  </sheets>
  <externalReferences>
    <externalReference r:id="rId5"/>
  </externalReferences>
  <definedNames>
    <definedName name="_xlnm.Print_Area" localSheetId="0">'водопостачання тех'!$A$1:$F$46</definedName>
    <definedName name="_xlnm.Print_Area" localSheetId="2">'зарплата 1-6'!$A$1:$V$211</definedName>
    <definedName name="_xlnm.Print_Area" localSheetId="3">'зарплата 7-11'!$A$1:$V$218</definedName>
  </definedNames>
  <calcPr calcId="162913"/>
</workbook>
</file>

<file path=xl/calcChain.xml><?xml version="1.0" encoding="utf-8"?>
<calcChain xmlns="http://schemas.openxmlformats.org/spreadsheetml/2006/main">
  <c r="Y5" i="19" l="1"/>
  <c r="M168" i="19" l="1"/>
  <c r="M167" i="19"/>
  <c r="M164" i="19"/>
  <c r="M163" i="19"/>
  <c r="M154" i="19"/>
  <c r="M153" i="19"/>
  <c r="M152" i="19"/>
  <c r="M143" i="19"/>
  <c r="M138" i="19"/>
  <c r="M137" i="19"/>
  <c r="M136" i="19"/>
  <c r="M135" i="19"/>
  <c r="M134" i="19"/>
  <c r="M133" i="19"/>
  <c r="M132" i="19"/>
  <c r="M131" i="19"/>
  <c r="M128" i="19"/>
  <c r="M127" i="19"/>
  <c r="M125" i="19"/>
  <c r="M112" i="19"/>
  <c r="M111" i="19"/>
  <c r="M107" i="19"/>
  <c r="M106" i="19"/>
  <c r="M104" i="19"/>
  <c r="M73" i="19"/>
  <c r="M72" i="19"/>
  <c r="M71" i="19"/>
  <c r="M55" i="19"/>
  <c r="M56" i="19" s="1"/>
  <c r="E138" i="19"/>
  <c r="L55" i="19"/>
  <c r="G49" i="19"/>
  <c r="G44" i="19"/>
  <c r="G43" i="19"/>
  <c r="G30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14" i="19"/>
  <c r="H14" i="19" s="1"/>
  <c r="M74" i="19" l="1"/>
  <c r="M75" i="19" s="1"/>
  <c r="M119" i="19"/>
  <c r="M171" i="19"/>
  <c r="M172" i="19" s="1"/>
  <c r="M145" i="19"/>
  <c r="M157" i="19"/>
  <c r="M57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N14" i="19"/>
  <c r="O14" i="19" s="1"/>
  <c r="G35" i="19"/>
  <c r="G36" i="19"/>
  <c r="H30" i="19"/>
  <c r="N30" i="19" s="1"/>
  <c r="O30" i="19" s="1"/>
  <c r="G31" i="19"/>
  <c r="H31" i="19" s="1"/>
  <c r="N31" i="19" s="1"/>
  <c r="O31" i="19" s="1"/>
  <c r="G32" i="19"/>
  <c r="H32" i="19" s="1"/>
  <c r="N32" i="19" s="1"/>
  <c r="O32" i="19" s="1"/>
  <c r="G33" i="19"/>
  <c r="H33" i="19" s="1"/>
  <c r="N33" i="19" s="1"/>
  <c r="O33" i="19" s="1"/>
  <c r="M95" i="19" l="1"/>
  <c r="M174" i="19"/>
  <c r="O34" i="19"/>
  <c r="Q72" i="19" l="1"/>
  <c r="C144" i="19" l="1"/>
  <c r="G85" i="19"/>
  <c r="G38" i="19"/>
  <c r="G37" i="19"/>
  <c r="N20" i="19"/>
  <c r="O20" i="19" s="1"/>
  <c r="N21" i="19"/>
  <c r="O21" i="19" s="1"/>
  <c r="N22" i="19"/>
  <c r="O22" i="19" s="1"/>
  <c r="N24" i="19"/>
  <c r="O24" i="19" s="1"/>
  <c r="N25" i="19"/>
  <c r="O25" i="19" s="1"/>
  <c r="N26" i="19"/>
  <c r="O26" i="19" s="1"/>
  <c r="N15" i="19"/>
  <c r="O15" i="19" s="1"/>
  <c r="N16" i="19"/>
  <c r="O16" i="19" s="1"/>
  <c r="N17" i="19"/>
  <c r="O17" i="19" s="1"/>
  <c r="N18" i="19"/>
  <c r="O18" i="19" s="1"/>
  <c r="N19" i="19"/>
  <c r="O19" i="19" s="1"/>
  <c r="N23" i="19"/>
  <c r="O23" i="19" s="1"/>
  <c r="N27" i="19"/>
  <c r="O27" i="19" s="1"/>
  <c r="C145" i="19"/>
  <c r="C86" i="19"/>
  <c r="G84" i="19"/>
  <c r="C40" i="19"/>
  <c r="E39" i="19"/>
  <c r="H85" i="19" l="1"/>
  <c r="O28" i="19"/>
  <c r="N28" i="19"/>
  <c r="H28" i="19"/>
  <c r="H34" i="19"/>
  <c r="H84" i="19"/>
  <c r="H86" i="19" l="1"/>
  <c r="G169" i="19" l="1"/>
  <c r="G170" i="19"/>
  <c r="G60" i="19"/>
  <c r="C171" i="19" l="1"/>
  <c r="H170" i="19"/>
  <c r="H169" i="19"/>
  <c r="D168" i="19"/>
  <c r="D167" i="19"/>
  <c r="D166" i="19"/>
  <c r="E165" i="19"/>
  <c r="E164" i="19"/>
  <c r="E163" i="19"/>
  <c r="C162" i="19"/>
  <c r="G161" i="19"/>
  <c r="G160" i="19"/>
  <c r="C157" i="19"/>
  <c r="E156" i="19"/>
  <c r="D156" i="19"/>
  <c r="E154" i="19"/>
  <c r="C150" i="19"/>
  <c r="C158" i="19" s="1"/>
  <c r="G149" i="19"/>
  <c r="G148" i="19"/>
  <c r="G142" i="19"/>
  <c r="G140" i="19"/>
  <c r="H140" i="19" s="1"/>
  <c r="E137" i="19"/>
  <c r="E136" i="19"/>
  <c r="E135" i="19"/>
  <c r="E134" i="19"/>
  <c r="E133" i="19"/>
  <c r="E132" i="19"/>
  <c r="E131" i="19"/>
  <c r="E129" i="19"/>
  <c r="E128" i="19"/>
  <c r="E127" i="19"/>
  <c r="E125" i="19"/>
  <c r="G123" i="19"/>
  <c r="G122" i="19"/>
  <c r="C119" i="19"/>
  <c r="G118" i="19"/>
  <c r="H118" i="19" s="1"/>
  <c r="J118" i="19" s="1"/>
  <c r="N118" i="19" s="1"/>
  <c r="O118" i="19" s="1"/>
  <c r="G117" i="19"/>
  <c r="E115" i="19"/>
  <c r="E114" i="19"/>
  <c r="E113" i="19"/>
  <c r="E112" i="19"/>
  <c r="E111" i="19"/>
  <c r="E109" i="19"/>
  <c r="E107" i="19"/>
  <c r="E106" i="19"/>
  <c r="E104" i="19"/>
  <c r="C102" i="19"/>
  <c r="G101" i="19"/>
  <c r="G100" i="19"/>
  <c r="G99" i="19"/>
  <c r="G98" i="19"/>
  <c r="C92" i="19"/>
  <c r="E91" i="19"/>
  <c r="E90" i="19"/>
  <c r="C89" i="19"/>
  <c r="G88" i="19"/>
  <c r="C82" i="19"/>
  <c r="G81" i="19"/>
  <c r="G80" i="19"/>
  <c r="G79" i="19"/>
  <c r="G78" i="19"/>
  <c r="G77" i="19"/>
  <c r="C74" i="19"/>
  <c r="C75" i="19" s="1"/>
  <c r="E73" i="19"/>
  <c r="E72" i="19"/>
  <c r="E70" i="19"/>
  <c r="E69" i="19"/>
  <c r="E68" i="19"/>
  <c r="C67" i="19"/>
  <c r="G66" i="19"/>
  <c r="C63" i="19"/>
  <c r="E62" i="19"/>
  <c r="C61" i="19"/>
  <c r="G59" i="19"/>
  <c r="G61" i="19" s="1"/>
  <c r="C56" i="19"/>
  <c r="E55" i="19"/>
  <c r="C54" i="19"/>
  <c r="G53" i="19"/>
  <c r="G52" i="19"/>
  <c r="C50" i="19"/>
  <c r="G48" i="19"/>
  <c r="G47" i="19"/>
  <c r="G46" i="19"/>
  <c r="H37" i="19"/>
  <c r="H36" i="19"/>
  <c r="C34" i="19"/>
  <c r="C41" i="19" s="1"/>
  <c r="C28" i="19"/>
  <c r="M100" i="19" l="1"/>
  <c r="M102" i="19" s="1"/>
  <c r="M120" i="19" s="1"/>
  <c r="M123" i="19"/>
  <c r="G55" i="19"/>
  <c r="H55" i="19" s="1"/>
  <c r="M84" i="19"/>
  <c r="M85" i="19"/>
  <c r="M142" i="19"/>
  <c r="M149" i="19"/>
  <c r="M150" i="19" s="1"/>
  <c r="M158" i="19" s="1"/>
  <c r="G125" i="19"/>
  <c r="G39" i="19"/>
  <c r="H39" i="19" s="1"/>
  <c r="C57" i="19"/>
  <c r="C64" i="19"/>
  <c r="J37" i="19"/>
  <c r="N37" i="19" s="1"/>
  <c r="O37" i="19" s="1"/>
  <c r="J36" i="19"/>
  <c r="N36" i="19" s="1"/>
  <c r="O36" i="19" s="1"/>
  <c r="L85" i="19"/>
  <c r="L84" i="19"/>
  <c r="J170" i="19"/>
  <c r="N170" i="19" s="1"/>
  <c r="O170" i="19" s="1"/>
  <c r="J140" i="19"/>
  <c r="J169" i="19"/>
  <c r="N169" i="19" s="1"/>
  <c r="O169" i="19" s="1"/>
  <c r="C94" i="19"/>
  <c r="C173" i="19" s="1"/>
  <c r="C120" i="19"/>
  <c r="G155" i="19"/>
  <c r="H155" i="19" s="1"/>
  <c r="H77" i="19"/>
  <c r="N77" i="19" s="1"/>
  <c r="O77" i="19" s="1"/>
  <c r="G69" i="19"/>
  <c r="H69" i="19" s="1"/>
  <c r="G90" i="19"/>
  <c r="G113" i="19"/>
  <c r="H113" i="19" s="1"/>
  <c r="J113" i="19" s="1"/>
  <c r="N113" i="19" s="1"/>
  <c r="O113" i="19" s="1"/>
  <c r="G115" i="19"/>
  <c r="H115" i="19" s="1"/>
  <c r="J115" i="19" s="1"/>
  <c r="N115" i="19" s="1"/>
  <c r="O115" i="19" s="1"/>
  <c r="G165" i="19"/>
  <c r="H165" i="19" s="1"/>
  <c r="J165" i="19" s="1"/>
  <c r="N165" i="19" s="1"/>
  <c r="O165" i="19" s="1"/>
  <c r="G62" i="19"/>
  <c r="G63" i="19" s="1"/>
  <c r="G68" i="19"/>
  <c r="G70" i="19"/>
  <c r="H70" i="19" s="1"/>
  <c r="G91" i="19"/>
  <c r="H91" i="19" s="1"/>
  <c r="G109" i="19"/>
  <c r="H109" i="19" s="1"/>
  <c r="J109" i="19" s="1"/>
  <c r="N109" i="19" s="1"/>
  <c r="O109" i="19" s="1"/>
  <c r="G114" i="19"/>
  <c r="H114" i="19" s="1"/>
  <c r="G129" i="19"/>
  <c r="H129" i="19" s="1"/>
  <c r="J129" i="19" s="1"/>
  <c r="N129" i="19" s="1"/>
  <c r="O129" i="19" s="1"/>
  <c r="G156" i="19"/>
  <c r="H156" i="19" s="1"/>
  <c r="G166" i="19"/>
  <c r="H166" i="19" s="1"/>
  <c r="K166" i="19" s="1"/>
  <c r="E71" i="19"/>
  <c r="C146" i="19"/>
  <c r="H100" i="19"/>
  <c r="H101" i="19"/>
  <c r="N101" i="19" s="1"/>
  <c r="O101" i="19" s="1"/>
  <c r="H142" i="19"/>
  <c r="C172" i="19"/>
  <c r="H44" i="19"/>
  <c r="N44" i="19" s="1"/>
  <c r="O44" i="19" s="1"/>
  <c r="H81" i="19"/>
  <c r="N81" i="19" s="1"/>
  <c r="O81" i="19" s="1"/>
  <c r="H35" i="19"/>
  <c r="N35" i="19" s="1"/>
  <c r="H52" i="19"/>
  <c r="C95" i="19"/>
  <c r="C174" i="19" s="1"/>
  <c r="H79" i="19"/>
  <c r="N79" i="19" s="1"/>
  <c r="O79" i="19" s="1"/>
  <c r="C93" i="19"/>
  <c r="H98" i="19"/>
  <c r="G150" i="19"/>
  <c r="H149" i="19"/>
  <c r="R18" i="19"/>
  <c r="T18" i="19"/>
  <c r="V18" i="19"/>
  <c r="S27" i="19"/>
  <c r="U27" i="19"/>
  <c r="H38" i="19"/>
  <c r="N38" i="19" s="1"/>
  <c r="O38" i="19" s="1"/>
  <c r="H43" i="19"/>
  <c r="H46" i="19"/>
  <c r="N46" i="19" s="1"/>
  <c r="O46" i="19" s="1"/>
  <c r="H47" i="19"/>
  <c r="N47" i="19" s="1"/>
  <c r="O47" i="19" s="1"/>
  <c r="H48" i="19"/>
  <c r="N48" i="19" s="1"/>
  <c r="O48" i="19" s="1"/>
  <c r="H49" i="19"/>
  <c r="N49" i="19" s="1"/>
  <c r="O49" i="19" s="1"/>
  <c r="H53" i="19"/>
  <c r="N53" i="19" s="1"/>
  <c r="O53" i="19" s="1"/>
  <c r="H60" i="19"/>
  <c r="N60" i="19" s="1"/>
  <c r="O60" i="19" s="1"/>
  <c r="P60" i="19" s="1"/>
  <c r="Q60" i="19" s="1"/>
  <c r="H66" i="19"/>
  <c r="H78" i="19"/>
  <c r="N78" i="19" s="1"/>
  <c r="O78" i="19" s="1"/>
  <c r="H80" i="19"/>
  <c r="N80" i="19" s="1"/>
  <c r="O80" i="19" s="1"/>
  <c r="H88" i="19"/>
  <c r="N88" i="19" s="1"/>
  <c r="O88" i="19" s="1"/>
  <c r="H99" i="19"/>
  <c r="N99" i="19" s="1"/>
  <c r="O99" i="19" s="1"/>
  <c r="Q18" i="19"/>
  <c r="S18" i="19"/>
  <c r="U18" i="19"/>
  <c r="T27" i="19"/>
  <c r="V27" i="19"/>
  <c r="H59" i="19"/>
  <c r="H117" i="19"/>
  <c r="N117" i="19" s="1"/>
  <c r="O117" i="19" s="1"/>
  <c r="H122" i="19"/>
  <c r="N122" i="19" s="1"/>
  <c r="H148" i="19"/>
  <c r="N148" i="19" s="1"/>
  <c r="O148" i="19" s="1"/>
  <c r="H160" i="19"/>
  <c r="N160" i="19" s="1"/>
  <c r="O160" i="19" s="1"/>
  <c r="P160" i="19" s="1"/>
  <c r="Q160" i="19" s="1"/>
  <c r="H161" i="19"/>
  <c r="N161" i="19" s="1"/>
  <c r="O161" i="19" s="1"/>
  <c r="H123" i="19"/>
  <c r="N100" i="19" l="1"/>
  <c r="O100" i="19" s="1"/>
  <c r="N142" i="19"/>
  <c r="O142" i="19" s="1"/>
  <c r="M86" i="19"/>
  <c r="M94" i="19" s="1"/>
  <c r="M144" i="19"/>
  <c r="M146" i="19" s="1"/>
  <c r="J39" i="19"/>
  <c r="N39" i="19" s="1"/>
  <c r="N123" i="19"/>
  <c r="O123" i="19" s="1"/>
  <c r="N149" i="19"/>
  <c r="O149" i="19" s="1"/>
  <c r="O35" i="19"/>
  <c r="N140" i="19"/>
  <c r="O140" i="19" s="1"/>
  <c r="N85" i="19"/>
  <c r="O85" i="19" s="1"/>
  <c r="N52" i="19"/>
  <c r="O52" i="19" s="1"/>
  <c r="H54" i="19"/>
  <c r="J156" i="19"/>
  <c r="N156" i="19" s="1"/>
  <c r="O156" i="19" s="1"/>
  <c r="O122" i="19"/>
  <c r="H61" i="19"/>
  <c r="N59" i="19"/>
  <c r="O59" i="19" s="1"/>
  <c r="N66" i="19"/>
  <c r="O66" i="19" s="1"/>
  <c r="H67" i="19"/>
  <c r="H102" i="19"/>
  <c r="N98" i="19"/>
  <c r="O98" i="19" s="1"/>
  <c r="P98" i="19" s="1"/>
  <c r="Q98" i="19" s="1"/>
  <c r="G71" i="19"/>
  <c r="H71" i="19" s="1"/>
  <c r="L71" i="19"/>
  <c r="L132" i="19"/>
  <c r="L127" i="19"/>
  <c r="J114" i="19"/>
  <c r="N114" i="19" s="1"/>
  <c r="O114" i="19" s="1"/>
  <c r="L104" i="19"/>
  <c r="L73" i="19"/>
  <c r="H68" i="19"/>
  <c r="L168" i="19"/>
  <c r="L137" i="19"/>
  <c r="L133" i="19"/>
  <c r="L107" i="19"/>
  <c r="G72" i="19"/>
  <c r="H72" i="19" s="1"/>
  <c r="L56" i="19"/>
  <c r="L57" i="19" s="1"/>
  <c r="J155" i="19"/>
  <c r="N155" i="19" s="1"/>
  <c r="O155" i="19" s="1"/>
  <c r="H50" i="19"/>
  <c r="N43" i="19"/>
  <c r="J166" i="19"/>
  <c r="L125" i="19"/>
  <c r="L112" i="19"/>
  <c r="L106" i="19"/>
  <c r="J91" i="19"/>
  <c r="N91" i="19" s="1"/>
  <c r="O91" i="19" s="1"/>
  <c r="J70" i="19"/>
  <c r="N70" i="19" s="1"/>
  <c r="O70" i="19" s="1"/>
  <c r="L167" i="19"/>
  <c r="L131" i="19"/>
  <c r="G111" i="19"/>
  <c r="H111" i="19" s="1"/>
  <c r="J111" i="19" s="1"/>
  <c r="L111" i="19"/>
  <c r="J69" i="19"/>
  <c r="N69" i="19" s="1"/>
  <c r="O69" i="19" s="1"/>
  <c r="L86" i="19"/>
  <c r="L94" i="19" s="1"/>
  <c r="L173" i="19" s="1"/>
  <c r="N84" i="19"/>
  <c r="H40" i="19"/>
  <c r="L72" i="19"/>
  <c r="G73" i="19"/>
  <c r="H73" i="19" s="1"/>
  <c r="C96" i="19"/>
  <c r="C175" i="19"/>
  <c r="G154" i="19"/>
  <c r="H154" i="19" s="1"/>
  <c r="J154" i="19" s="1"/>
  <c r="N154" i="19" s="1"/>
  <c r="O154" i="19" s="1"/>
  <c r="G112" i="19"/>
  <c r="H112" i="19" s="1"/>
  <c r="G104" i="19"/>
  <c r="G134" i="19"/>
  <c r="H134" i="19" s="1"/>
  <c r="J134" i="19" s="1"/>
  <c r="G163" i="19"/>
  <c r="H150" i="19"/>
  <c r="H144" i="19"/>
  <c r="G138" i="19"/>
  <c r="H138" i="19" s="1"/>
  <c r="J138" i="19" s="1"/>
  <c r="G107" i="19"/>
  <c r="H107" i="19" s="1"/>
  <c r="J107" i="19" s="1"/>
  <c r="H90" i="19"/>
  <c r="H62" i="19"/>
  <c r="G56" i="19"/>
  <c r="G128" i="19"/>
  <c r="H128" i="19" s="1"/>
  <c r="J128" i="19" s="1"/>
  <c r="N128" i="19" s="1"/>
  <c r="O128" i="19" s="1"/>
  <c r="G131" i="19"/>
  <c r="H131" i="19" s="1"/>
  <c r="J131" i="19" s="1"/>
  <c r="G133" i="19"/>
  <c r="H133" i="19" s="1"/>
  <c r="J133" i="19" s="1"/>
  <c r="G136" i="19"/>
  <c r="H136" i="19" s="1"/>
  <c r="G153" i="19"/>
  <c r="H153" i="19" s="1"/>
  <c r="J153" i="19" s="1"/>
  <c r="N153" i="19" s="1"/>
  <c r="O153" i="19" s="1"/>
  <c r="G167" i="19"/>
  <c r="H167" i="19" s="1"/>
  <c r="G168" i="19"/>
  <c r="H168" i="19" s="1"/>
  <c r="G137" i="19"/>
  <c r="H137" i="19" s="1"/>
  <c r="J137" i="19" s="1"/>
  <c r="H89" i="19"/>
  <c r="H82" i="19"/>
  <c r="H162" i="19"/>
  <c r="G127" i="19"/>
  <c r="H127" i="19" s="1"/>
  <c r="J127" i="19" s="1"/>
  <c r="G106" i="19"/>
  <c r="H106" i="19" s="1"/>
  <c r="J106" i="19" s="1"/>
  <c r="G143" i="19"/>
  <c r="G132" i="19"/>
  <c r="H132" i="19" s="1"/>
  <c r="J132" i="19" s="1"/>
  <c r="G152" i="19"/>
  <c r="G164" i="19"/>
  <c r="H164" i="19" s="1"/>
  <c r="G135" i="19"/>
  <c r="H135" i="19" s="1"/>
  <c r="J135" i="19" s="1"/>
  <c r="N135" i="19" s="1"/>
  <c r="O135" i="19" s="1"/>
  <c r="N106" i="19" l="1"/>
  <c r="O106" i="19" s="1"/>
  <c r="N144" i="19"/>
  <c r="N107" i="19"/>
  <c r="O107" i="19" s="1"/>
  <c r="J40" i="19"/>
  <c r="J41" i="19" s="1"/>
  <c r="M173" i="19"/>
  <c r="M175" i="19" s="1"/>
  <c r="M96" i="19"/>
  <c r="O39" i="19"/>
  <c r="O40" i="19" s="1"/>
  <c r="N40" i="19"/>
  <c r="O144" i="19"/>
  <c r="L171" i="19"/>
  <c r="L172" i="19" s="1"/>
  <c r="H41" i="19"/>
  <c r="P28" i="19"/>
  <c r="N166" i="19"/>
  <c r="O166" i="19" s="1"/>
  <c r="H143" i="19"/>
  <c r="N127" i="19"/>
  <c r="O127" i="19" s="1"/>
  <c r="K167" i="19"/>
  <c r="J167" i="19"/>
  <c r="J136" i="19"/>
  <c r="J145" i="19" s="1"/>
  <c r="J90" i="19"/>
  <c r="J92" i="19" s="1"/>
  <c r="J93" i="19" s="1"/>
  <c r="J73" i="19"/>
  <c r="N73" i="19" s="1"/>
  <c r="O73" i="19" s="1"/>
  <c r="J71" i="19"/>
  <c r="N71" i="19" s="1"/>
  <c r="O71" i="19" s="1"/>
  <c r="N138" i="19"/>
  <c r="O138" i="19" s="1"/>
  <c r="L145" i="19"/>
  <c r="L146" i="19" s="1"/>
  <c r="H94" i="19"/>
  <c r="H173" i="19" s="1"/>
  <c r="J164" i="19"/>
  <c r="N164" i="19" s="1"/>
  <c r="O164" i="19" s="1"/>
  <c r="J168" i="19"/>
  <c r="K168" i="19"/>
  <c r="H63" i="19"/>
  <c r="H64" i="19" s="1"/>
  <c r="J62" i="19"/>
  <c r="O84" i="19"/>
  <c r="O86" i="19" s="1"/>
  <c r="N86" i="19"/>
  <c r="O43" i="19"/>
  <c r="O50" i="19" s="1"/>
  <c r="N50" i="19"/>
  <c r="J72" i="19"/>
  <c r="N72" i="19" s="1"/>
  <c r="O72" i="19" s="1"/>
  <c r="H74" i="19"/>
  <c r="H75" i="19" s="1"/>
  <c r="J68" i="19"/>
  <c r="N68" i="19" s="1"/>
  <c r="N134" i="19"/>
  <c r="O134" i="19" s="1"/>
  <c r="N111" i="19"/>
  <c r="O111" i="19" s="1"/>
  <c r="P111" i="19" s="1"/>
  <c r="Q111" i="19" s="1"/>
  <c r="N131" i="19"/>
  <c r="O131" i="19" s="1"/>
  <c r="P131" i="19" s="1"/>
  <c r="Q131" i="19" s="1"/>
  <c r="N112" i="19"/>
  <c r="O112" i="19" s="1"/>
  <c r="N133" i="19"/>
  <c r="O133" i="19" s="1"/>
  <c r="N137" i="19"/>
  <c r="O137" i="19" s="1"/>
  <c r="N132" i="19"/>
  <c r="O132" i="19" s="1"/>
  <c r="L74" i="19"/>
  <c r="L75" i="19" s="1"/>
  <c r="P118" i="19"/>
  <c r="Q118" i="19" s="1"/>
  <c r="H152" i="19"/>
  <c r="J152" i="19" s="1"/>
  <c r="H125" i="19"/>
  <c r="N125" i="19" s="1"/>
  <c r="N61" i="19"/>
  <c r="O61" i="19"/>
  <c r="N162" i="19"/>
  <c r="O162" i="19"/>
  <c r="N34" i="19"/>
  <c r="J55" i="19"/>
  <c r="N150" i="19"/>
  <c r="O150" i="19"/>
  <c r="H163" i="19"/>
  <c r="N102" i="19"/>
  <c r="L119" i="19"/>
  <c r="L120" i="19" s="1"/>
  <c r="N67" i="19"/>
  <c r="O67" i="19"/>
  <c r="N54" i="19"/>
  <c r="O54" i="19"/>
  <c r="N82" i="19"/>
  <c r="O82" i="19"/>
  <c r="O89" i="19"/>
  <c r="N89" i="19"/>
  <c r="H92" i="19"/>
  <c r="H93" i="19" s="1"/>
  <c r="H104" i="19"/>
  <c r="O102" i="19"/>
  <c r="L95" i="19" l="1"/>
  <c r="L174" i="19" s="1"/>
  <c r="L175" i="19" s="1"/>
  <c r="N152" i="19"/>
  <c r="N157" i="19" s="1"/>
  <c r="J157" i="19"/>
  <c r="J146" i="19"/>
  <c r="N41" i="19"/>
  <c r="O41" i="19" s="1"/>
  <c r="P41" i="19" s="1"/>
  <c r="P40" i="19"/>
  <c r="N168" i="19"/>
  <c r="O168" i="19" s="1"/>
  <c r="N167" i="19"/>
  <c r="O167" i="19" s="1"/>
  <c r="K171" i="19"/>
  <c r="K172" i="19" s="1"/>
  <c r="O125" i="19"/>
  <c r="H119" i="19"/>
  <c r="J104" i="19"/>
  <c r="J119" i="19" s="1"/>
  <c r="J163" i="19"/>
  <c r="J171" i="19" s="1"/>
  <c r="J172" i="19" s="1"/>
  <c r="O68" i="19"/>
  <c r="P68" i="19" s="1"/>
  <c r="Q68" i="19" s="1"/>
  <c r="N74" i="19"/>
  <c r="N143" i="19"/>
  <c r="O143" i="19" s="1"/>
  <c r="H145" i="19"/>
  <c r="H146" i="19" s="1"/>
  <c r="N94" i="19"/>
  <c r="N173" i="19" s="1"/>
  <c r="O94" i="19"/>
  <c r="J74" i="19"/>
  <c r="J75" i="19" s="1"/>
  <c r="N90" i="19"/>
  <c r="N136" i="19"/>
  <c r="O136" i="19" s="1"/>
  <c r="J56" i="19"/>
  <c r="H56" i="19"/>
  <c r="H57" i="19" s="1"/>
  <c r="N55" i="19"/>
  <c r="O55" i="19" s="1"/>
  <c r="N62" i="19"/>
  <c r="O62" i="19" s="1"/>
  <c r="J63" i="19"/>
  <c r="J64" i="19" s="1"/>
  <c r="L96" i="19"/>
  <c r="H171" i="19"/>
  <c r="H172" i="19" s="1"/>
  <c r="H157" i="19"/>
  <c r="H158" i="19" s="1"/>
  <c r="H14" i="6"/>
  <c r="O152" i="19" l="1"/>
  <c r="K174" i="19"/>
  <c r="K175" i="19" s="1"/>
  <c r="H120" i="19"/>
  <c r="O173" i="19"/>
  <c r="J120" i="19"/>
  <c r="J57" i="19"/>
  <c r="J95" i="19"/>
  <c r="J174" i="19" s="1"/>
  <c r="J175" i="19" s="1"/>
  <c r="O90" i="19"/>
  <c r="N92" i="19"/>
  <c r="N93" i="19" s="1"/>
  <c r="N163" i="19"/>
  <c r="O145" i="19"/>
  <c r="N104" i="19"/>
  <c r="O104" i="19" s="1"/>
  <c r="N145" i="19"/>
  <c r="O74" i="19"/>
  <c r="O75" i="19" s="1"/>
  <c r="N75" i="19"/>
  <c r="H95" i="19"/>
  <c r="H174" i="19" s="1"/>
  <c r="H175" i="19" s="1"/>
  <c r="O163" i="19" l="1"/>
  <c r="O171" i="19" s="1"/>
  <c r="N171" i="19"/>
  <c r="N172" i="19" s="1"/>
  <c r="J96" i="19"/>
  <c r="N63" i="19"/>
  <c r="O63" i="19"/>
  <c r="O92" i="19"/>
  <c r="O93" i="19" s="1"/>
  <c r="N146" i="19"/>
  <c r="O146" i="19"/>
  <c r="P127" i="19"/>
  <c r="Q127" i="19" s="1"/>
  <c r="H96" i="19"/>
  <c r="P146" i="19" l="1"/>
  <c r="N64" i="19"/>
  <c r="N119" i="19"/>
  <c r="O64" i="19"/>
  <c r="O172" i="19"/>
  <c r="N158" i="19"/>
  <c r="O157" i="19"/>
  <c r="O158" i="19" s="1"/>
  <c r="P158" i="19" s="1"/>
  <c r="O56" i="19"/>
  <c r="N56" i="19"/>
  <c r="N95" i="19" s="1"/>
  <c r="O119" i="19"/>
  <c r="N96" i="19" l="1"/>
  <c r="N174" i="19"/>
  <c r="N175" i="19" s="1"/>
  <c r="P172" i="19"/>
  <c r="O120" i="19"/>
  <c r="P120" i="19" s="1"/>
  <c r="N120" i="19"/>
  <c r="O95" i="19"/>
  <c r="O174" i="19" s="1"/>
  <c r="O175" i="19" s="1"/>
  <c r="O176" i="19" s="1"/>
  <c r="O57" i="19"/>
  <c r="N57" i="19"/>
  <c r="O96" i="19" l="1"/>
  <c r="P96" i="19" l="1"/>
  <c r="P175" i="19" s="1"/>
  <c r="N176" i="19"/>
  <c r="J187" i="12"/>
  <c r="K187" i="12"/>
  <c r="M187" i="12"/>
  <c r="N187" i="12"/>
  <c r="O187" i="12"/>
  <c r="P187" i="12"/>
  <c r="Q187" i="12"/>
  <c r="S187" i="12"/>
  <c r="J167" i="12"/>
  <c r="K167" i="12"/>
  <c r="L167" i="12"/>
  <c r="M167" i="12"/>
  <c r="N167" i="12"/>
  <c r="O167" i="12"/>
  <c r="P167" i="12"/>
  <c r="Q167" i="12"/>
  <c r="R167" i="12"/>
  <c r="S167" i="12"/>
  <c r="C155" i="12"/>
  <c r="J123" i="12"/>
  <c r="J124" i="12" s="1"/>
  <c r="K123" i="12"/>
  <c r="K124" i="12" s="1"/>
  <c r="L123" i="12"/>
  <c r="M123" i="12"/>
  <c r="N123" i="12"/>
  <c r="N124" i="12" s="1"/>
  <c r="O123" i="12"/>
  <c r="O124" i="12" s="1"/>
  <c r="P123" i="12"/>
  <c r="Q123" i="12"/>
  <c r="R123" i="12"/>
  <c r="R124" i="12" s="1"/>
  <c r="S123" i="12"/>
  <c r="S124" i="12" s="1"/>
  <c r="U120" i="12"/>
  <c r="U105" i="12"/>
  <c r="U108" i="12"/>
  <c r="U113" i="12"/>
  <c r="I101" i="12"/>
  <c r="J101" i="12"/>
  <c r="K101" i="12"/>
  <c r="L101" i="12"/>
  <c r="M101" i="12"/>
  <c r="N101" i="12"/>
  <c r="O101" i="12"/>
  <c r="P101" i="12"/>
  <c r="Q101" i="12"/>
  <c r="R101" i="12"/>
  <c r="S101" i="12"/>
  <c r="O92" i="12"/>
  <c r="I91" i="12"/>
  <c r="J91" i="12"/>
  <c r="K91" i="12"/>
  <c r="L91" i="12"/>
  <c r="L92" i="12" s="1"/>
  <c r="M91" i="12"/>
  <c r="N91" i="12"/>
  <c r="O91" i="12"/>
  <c r="P91" i="12"/>
  <c r="P92" i="12" s="1"/>
  <c r="Q91" i="12"/>
  <c r="R91" i="12"/>
  <c r="S91" i="12"/>
  <c r="I88" i="12"/>
  <c r="J88" i="12"/>
  <c r="K88" i="12"/>
  <c r="K92" i="12" s="1"/>
  <c r="L88" i="12"/>
  <c r="M88" i="12"/>
  <c r="M92" i="12" s="1"/>
  <c r="N88" i="12"/>
  <c r="N92" i="12" s="1"/>
  <c r="O88" i="12"/>
  <c r="P88" i="12"/>
  <c r="Q88" i="12"/>
  <c r="R88" i="12"/>
  <c r="S88" i="12"/>
  <c r="S92" i="12" s="1"/>
  <c r="I85" i="12"/>
  <c r="J85" i="12"/>
  <c r="K85" i="12"/>
  <c r="L85" i="12"/>
  <c r="M85" i="12"/>
  <c r="N85" i="12"/>
  <c r="O85" i="12"/>
  <c r="P85" i="12"/>
  <c r="Q85" i="12"/>
  <c r="R85" i="12"/>
  <c r="S85" i="12"/>
  <c r="N77" i="12"/>
  <c r="J76" i="12"/>
  <c r="J77" i="12" s="1"/>
  <c r="K76" i="12"/>
  <c r="K77" i="12" s="1"/>
  <c r="L76" i="12"/>
  <c r="M76" i="12"/>
  <c r="M77" i="12" s="1"/>
  <c r="N76" i="12"/>
  <c r="O76" i="12"/>
  <c r="O77" i="12" s="1"/>
  <c r="P76" i="12"/>
  <c r="Q76" i="12"/>
  <c r="R76" i="12"/>
  <c r="R77" i="12" s="1"/>
  <c r="S76" i="12"/>
  <c r="C76" i="12"/>
  <c r="C77" i="12" s="1"/>
  <c r="I69" i="12"/>
  <c r="J69" i="12"/>
  <c r="K69" i="12"/>
  <c r="K93" i="12" s="1"/>
  <c r="L69" i="12"/>
  <c r="L93" i="12" s="1"/>
  <c r="M69" i="12"/>
  <c r="N69" i="12"/>
  <c r="N93" i="12" s="1"/>
  <c r="O69" i="12"/>
  <c r="O93" i="12" s="1"/>
  <c r="P69" i="12"/>
  <c r="P93" i="12" s="1"/>
  <c r="Q69" i="12"/>
  <c r="Q77" i="12" s="1"/>
  <c r="R69" i="12"/>
  <c r="S69" i="12"/>
  <c r="S93" i="12" s="1"/>
  <c r="S77" i="12" l="1"/>
  <c r="I93" i="12"/>
  <c r="Q124" i="12"/>
  <c r="M124" i="12"/>
  <c r="M93" i="12"/>
  <c r="L77" i="12"/>
  <c r="R93" i="12"/>
  <c r="J93" i="12"/>
  <c r="Q92" i="12"/>
  <c r="I92" i="12"/>
  <c r="P124" i="12"/>
  <c r="L124" i="12"/>
  <c r="R92" i="12"/>
  <c r="J92" i="12"/>
  <c r="Q93" i="12"/>
  <c r="P77" i="12"/>
  <c r="J65" i="12" l="1"/>
  <c r="J94" i="12" s="1"/>
  <c r="K65" i="12"/>
  <c r="K94" i="12" s="1"/>
  <c r="L65" i="12"/>
  <c r="L94" i="12" s="1"/>
  <c r="M65" i="12"/>
  <c r="M94" i="12" s="1"/>
  <c r="N65" i="12"/>
  <c r="N94" i="12" s="1"/>
  <c r="O65" i="12"/>
  <c r="O94" i="12" s="1"/>
  <c r="P65" i="12"/>
  <c r="P94" i="12" s="1"/>
  <c r="Q65" i="12"/>
  <c r="Q94" i="12" s="1"/>
  <c r="R65" i="12"/>
  <c r="R94" i="12" s="1"/>
  <c r="S65" i="12"/>
  <c r="S94" i="12" s="1"/>
  <c r="J43" i="12"/>
  <c r="K43" i="12"/>
  <c r="L43" i="12"/>
  <c r="M43" i="12"/>
  <c r="N43" i="12"/>
  <c r="O43" i="12"/>
  <c r="P43" i="12"/>
  <c r="Q43" i="12"/>
  <c r="R43" i="12"/>
  <c r="S43" i="12"/>
  <c r="I38" i="12"/>
  <c r="J38" i="12"/>
  <c r="K38" i="12"/>
  <c r="L38" i="12"/>
  <c r="M38" i="12"/>
  <c r="N38" i="12"/>
  <c r="O38" i="12"/>
  <c r="P38" i="12"/>
  <c r="Q38" i="12"/>
  <c r="R38" i="12"/>
  <c r="S38" i="12"/>
  <c r="I32" i="12"/>
  <c r="J32" i="12"/>
  <c r="K32" i="12"/>
  <c r="L32" i="12"/>
  <c r="M32" i="12"/>
  <c r="N32" i="12"/>
  <c r="O32" i="12"/>
  <c r="P32" i="12"/>
  <c r="Q32" i="12"/>
  <c r="R32" i="12"/>
  <c r="S32" i="12"/>
  <c r="Q66" i="12" l="1"/>
  <c r="P66" i="12"/>
  <c r="O66" i="12"/>
  <c r="N95" i="12"/>
  <c r="L95" i="12"/>
  <c r="S95" i="12"/>
  <c r="K95" i="12"/>
  <c r="N66" i="12"/>
  <c r="M95" i="12"/>
  <c r="R95" i="12"/>
  <c r="J95" i="12"/>
  <c r="M66" i="12"/>
  <c r="Q95" i="12"/>
  <c r="L66" i="12"/>
  <c r="P95" i="12"/>
  <c r="S66" i="12"/>
  <c r="K66" i="12"/>
  <c r="O95" i="12"/>
  <c r="R66" i="12"/>
  <c r="J66" i="12"/>
  <c r="H111" i="12" l="1"/>
  <c r="I111" i="12" s="1"/>
  <c r="H112" i="12"/>
  <c r="I112" i="12" s="1"/>
  <c r="H110" i="12"/>
  <c r="F110" i="12" l="1"/>
  <c r="G110" i="12"/>
  <c r="T110" i="12"/>
  <c r="G111" i="12"/>
  <c r="F111" i="12"/>
  <c r="T111" i="12"/>
  <c r="U111" i="12" s="1"/>
  <c r="V111" i="12" s="1"/>
  <c r="G112" i="12"/>
  <c r="F112" i="12"/>
  <c r="T112" i="12"/>
  <c r="U112" i="12" s="1"/>
  <c r="V112" i="12" s="1"/>
  <c r="I110" i="12"/>
  <c r="U110" i="12" l="1"/>
  <c r="V110" i="12" s="1"/>
  <c r="D13" i="15"/>
  <c r="E13" i="15" l="1"/>
  <c r="E14" i="15"/>
  <c r="E18" i="15"/>
  <c r="E19" i="15"/>
  <c r="E23" i="15"/>
  <c r="E24" i="15"/>
  <c r="E25" i="15"/>
  <c r="E26" i="15"/>
  <c r="E27" i="15"/>
  <c r="E28" i="15"/>
  <c r="E29" i="15"/>
  <c r="E30" i="15"/>
  <c r="E31" i="15"/>
  <c r="E34" i="15"/>
  <c r="D12" i="15"/>
  <c r="E12" i="15" s="1"/>
  <c r="I175" i="12" l="1"/>
  <c r="J175" i="12"/>
  <c r="J188" i="12" s="1"/>
  <c r="K175" i="12"/>
  <c r="K188" i="12" s="1"/>
  <c r="L175" i="12"/>
  <c r="M175" i="12"/>
  <c r="M188" i="12" s="1"/>
  <c r="N175" i="12"/>
  <c r="N188" i="12" s="1"/>
  <c r="O175" i="12"/>
  <c r="O188" i="12" s="1"/>
  <c r="P175" i="12"/>
  <c r="P188" i="12" s="1"/>
  <c r="Q175" i="12"/>
  <c r="Q188" i="12" s="1"/>
  <c r="R175" i="12"/>
  <c r="S175" i="12"/>
  <c r="S188" i="12" s="1"/>
  <c r="H163" i="12"/>
  <c r="H164" i="12"/>
  <c r="H165" i="12"/>
  <c r="H166" i="12"/>
  <c r="H162" i="12"/>
  <c r="I160" i="12"/>
  <c r="J160" i="12"/>
  <c r="K160" i="12"/>
  <c r="L160" i="12"/>
  <c r="M160" i="12"/>
  <c r="M168" i="12" s="1"/>
  <c r="N160" i="12"/>
  <c r="O160" i="12"/>
  <c r="P160" i="12"/>
  <c r="Q160" i="12"/>
  <c r="Q168" i="12" s="1"/>
  <c r="R160" i="12"/>
  <c r="S160" i="12"/>
  <c r="I163" i="12" l="1"/>
  <c r="G163" i="12"/>
  <c r="T163" i="12"/>
  <c r="U163" i="12" s="1"/>
  <c r="V163" i="12" s="1"/>
  <c r="F163" i="12"/>
  <c r="I162" i="12"/>
  <c r="G162" i="12"/>
  <c r="F162" i="12"/>
  <c r="T162" i="12"/>
  <c r="G166" i="12"/>
  <c r="F166" i="12"/>
  <c r="T166" i="12"/>
  <c r="I164" i="12"/>
  <c r="G164" i="12"/>
  <c r="T164" i="12"/>
  <c r="F164" i="12"/>
  <c r="G165" i="12"/>
  <c r="T165" i="12"/>
  <c r="F165" i="12"/>
  <c r="P168" i="12"/>
  <c r="L168" i="12"/>
  <c r="S168" i="12"/>
  <c r="O168" i="12"/>
  <c r="K168" i="12"/>
  <c r="R168" i="12"/>
  <c r="N168" i="12"/>
  <c r="J168" i="12"/>
  <c r="I166" i="12"/>
  <c r="H167" i="12"/>
  <c r="G167" i="12" s="1"/>
  <c r="I165" i="12"/>
  <c r="J155" i="12"/>
  <c r="K155" i="12"/>
  <c r="L155" i="12"/>
  <c r="L156" i="12" s="1"/>
  <c r="M155" i="12"/>
  <c r="N155" i="12"/>
  <c r="O155" i="12"/>
  <c r="P155" i="12"/>
  <c r="P156" i="12" s="1"/>
  <c r="Q155" i="12"/>
  <c r="R155" i="12"/>
  <c r="S155" i="12"/>
  <c r="I136" i="12"/>
  <c r="J136" i="12"/>
  <c r="J156" i="12" s="1"/>
  <c r="K136" i="12"/>
  <c r="L136" i="12"/>
  <c r="M136" i="12"/>
  <c r="N136" i="12"/>
  <c r="O136" i="12"/>
  <c r="P136" i="12"/>
  <c r="Q136" i="12"/>
  <c r="R136" i="12"/>
  <c r="R156" i="12" s="1"/>
  <c r="S136" i="12"/>
  <c r="J131" i="12"/>
  <c r="J190" i="12" s="1"/>
  <c r="K131" i="12"/>
  <c r="K190" i="12" s="1"/>
  <c r="L131" i="12"/>
  <c r="M131" i="12"/>
  <c r="N131" i="12"/>
  <c r="O131" i="12"/>
  <c r="O190" i="12" s="1"/>
  <c r="P131" i="12"/>
  <c r="Q131" i="12"/>
  <c r="R131" i="12"/>
  <c r="S131" i="12"/>
  <c r="S190" i="12" s="1"/>
  <c r="I129" i="12"/>
  <c r="J129" i="12"/>
  <c r="K129" i="12"/>
  <c r="L129" i="12"/>
  <c r="M129" i="12"/>
  <c r="N129" i="12"/>
  <c r="O129" i="12"/>
  <c r="P129" i="12"/>
  <c r="Q129" i="12"/>
  <c r="R129" i="12"/>
  <c r="S129" i="12"/>
  <c r="V120" i="12"/>
  <c r="V105" i="12"/>
  <c r="V108" i="12"/>
  <c r="U166" i="12" l="1"/>
  <c r="U164" i="12"/>
  <c r="P190" i="12"/>
  <c r="Q156" i="12"/>
  <c r="O132" i="12"/>
  <c r="O189" i="12"/>
  <c r="O191" i="12" s="1"/>
  <c r="M132" i="12"/>
  <c r="M189" i="12"/>
  <c r="M191" i="12" s="1"/>
  <c r="Q190" i="12"/>
  <c r="V166" i="12"/>
  <c r="I167" i="12"/>
  <c r="I168" i="12" s="1"/>
  <c r="V164" i="12"/>
  <c r="N132" i="12"/>
  <c r="N189" i="12"/>
  <c r="J132" i="12"/>
  <c r="J189" i="12"/>
  <c r="J191" i="12" s="1"/>
  <c r="K132" i="12"/>
  <c r="K189" i="12"/>
  <c r="K191" i="12" s="1"/>
  <c r="M156" i="12"/>
  <c r="R132" i="12"/>
  <c r="R189" i="12"/>
  <c r="Q132" i="12"/>
  <c r="Q189" i="12"/>
  <c r="Q191" i="12" s="1"/>
  <c r="I189" i="12"/>
  <c r="M190" i="12"/>
  <c r="U165" i="12"/>
  <c r="V165" i="12" s="1"/>
  <c r="N156" i="12"/>
  <c r="L132" i="12"/>
  <c r="L189" i="12"/>
  <c r="S132" i="12"/>
  <c r="S189" i="12"/>
  <c r="S191" i="12" s="1"/>
  <c r="N190" i="12"/>
  <c r="P132" i="12"/>
  <c r="P189" i="12"/>
  <c r="P191" i="12" s="1"/>
  <c r="U162" i="12"/>
  <c r="T167" i="12"/>
  <c r="S156" i="12"/>
  <c r="O156" i="12"/>
  <c r="K156" i="12"/>
  <c r="N191" i="12" l="1"/>
  <c r="U167" i="12"/>
  <c r="V162" i="12"/>
  <c r="V167" i="12" s="1"/>
  <c r="H186" i="12"/>
  <c r="H185" i="12"/>
  <c r="H184" i="12"/>
  <c r="H183" i="12"/>
  <c r="H182" i="12"/>
  <c r="H181" i="12"/>
  <c r="H180" i="12"/>
  <c r="H177" i="12"/>
  <c r="H178" i="12"/>
  <c r="H179" i="12"/>
  <c r="H176" i="12"/>
  <c r="H171" i="12"/>
  <c r="H172" i="12"/>
  <c r="H173" i="12"/>
  <c r="H174" i="12"/>
  <c r="H170" i="12"/>
  <c r="H159" i="12"/>
  <c r="H158" i="12"/>
  <c r="H154" i="12"/>
  <c r="H145" i="12"/>
  <c r="H146" i="12"/>
  <c r="H147" i="12"/>
  <c r="H148" i="12"/>
  <c r="H149" i="12"/>
  <c r="H150" i="12"/>
  <c r="H151" i="12"/>
  <c r="H152" i="12"/>
  <c r="H144" i="12"/>
  <c r="H141" i="12"/>
  <c r="H142" i="12"/>
  <c r="H140" i="12"/>
  <c r="H138" i="12"/>
  <c r="H137" i="12"/>
  <c r="H135" i="12"/>
  <c r="H134" i="12"/>
  <c r="H130" i="12"/>
  <c r="H128" i="12"/>
  <c r="H127" i="12"/>
  <c r="H122" i="12"/>
  <c r="G122" i="12" s="1"/>
  <c r="H121" i="12"/>
  <c r="H115" i="12"/>
  <c r="H116" i="12"/>
  <c r="H117" i="12"/>
  <c r="H118" i="12"/>
  <c r="H119" i="12"/>
  <c r="H114" i="12"/>
  <c r="H109" i="12"/>
  <c r="H107" i="12"/>
  <c r="H106" i="12"/>
  <c r="H104" i="12"/>
  <c r="H103" i="12"/>
  <c r="G121" i="12" l="1"/>
  <c r="T121" i="12"/>
  <c r="U121" i="12" s="1"/>
  <c r="V121" i="12" s="1"/>
  <c r="G150" i="12"/>
  <c r="T150" i="12"/>
  <c r="F150" i="12"/>
  <c r="I138" i="12"/>
  <c r="G138" i="12"/>
  <c r="F138" i="12"/>
  <c r="T138" i="12"/>
  <c r="G119" i="12"/>
  <c r="T119" i="12"/>
  <c r="F119" i="12"/>
  <c r="G159" i="12"/>
  <c r="T159" i="12"/>
  <c r="U159" i="12" s="1"/>
  <c r="V159" i="12" s="1"/>
  <c r="G109" i="12"/>
  <c r="T109" i="12"/>
  <c r="F109" i="12"/>
  <c r="G127" i="12"/>
  <c r="T127" i="12"/>
  <c r="U127" i="12" s="1"/>
  <c r="G142" i="12"/>
  <c r="T142" i="12"/>
  <c r="F142" i="12"/>
  <c r="H129" i="12"/>
  <c r="G129" i="12" s="1"/>
  <c r="I141" i="12"/>
  <c r="G141" i="12"/>
  <c r="T141" i="12"/>
  <c r="F141" i="12"/>
  <c r="G146" i="12"/>
  <c r="F146" i="12"/>
  <c r="T146" i="12"/>
  <c r="G172" i="12"/>
  <c r="T172" i="12"/>
  <c r="U172" i="12" s="1"/>
  <c r="V172" i="12" s="1"/>
  <c r="I182" i="12"/>
  <c r="G182" i="12"/>
  <c r="T182" i="12"/>
  <c r="G107" i="12"/>
  <c r="F107" i="12"/>
  <c r="T107" i="12"/>
  <c r="I178" i="12"/>
  <c r="G178" i="12"/>
  <c r="F178" i="12"/>
  <c r="T178" i="12"/>
  <c r="G170" i="12"/>
  <c r="T170" i="12"/>
  <c r="U170" i="12" s="1"/>
  <c r="V170" i="12" s="1"/>
  <c r="G114" i="12"/>
  <c r="T114" i="12"/>
  <c r="F114" i="12"/>
  <c r="G174" i="12"/>
  <c r="T174" i="12"/>
  <c r="U174" i="12" s="1"/>
  <c r="V174" i="12" s="1"/>
  <c r="I181" i="12"/>
  <c r="G181" i="12"/>
  <c r="T181" i="12"/>
  <c r="I117" i="12"/>
  <c r="G117" i="12"/>
  <c r="F117" i="12"/>
  <c r="T117" i="12"/>
  <c r="U117" i="12" s="1"/>
  <c r="V117" i="12" s="1"/>
  <c r="H131" i="12"/>
  <c r="G131" i="12" s="1"/>
  <c r="G130" i="12"/>
  <c r="F130" i="12"/>
  <c r="T130" i="12"/>
  <c r="I144" i="12"/>
  <c r="G144" i="12"/>
  <c r="T144" i="12"/>
  <c r="U144" i="12" s="1"/>
  <c r="F144" i="12"/>
  <c r="I145" i="12"/>
  <c r="G145" i="12"/>
  <c r="T145" i="12"/>
  <c r="F145" i="12"/>
  <c r="G171" i="12"/>
  <c r="T171" i="12"/>
  <c r="U171" i="12"/>
  <c r="V171" i="12" s="1"/>
  <c r="G183" i="12"/>
  <c r="T183" i="12"/>
  <c r="G177" i="12"/>
  <c r="F177" i="12"/>
  <c r="T177" i="12"/>
  <c r="G140" i="12"/>
  <c r="T140" i="12"/>
  <c r="F140" i="12"/>
  <c r="G180" i="12"/>
  <c r="T180" i="12"/>
  <c r="F180" i="12"/>
  <c r="G147" i="12"/>
  <c r="T147" i="12"/>
  <c r="U147" i="12" s="1"/>
  <c r="V147" i="12" s="1"/>
  <c r="F147" i="12"/>
  <c r="G118" i="12"/>
  <c r="T118" i="12"/>
  <c r="U118" i="12" s="1"/>
  <c r="F118" i="12"/>
  <c r="G104" i="12"/>
  <c r="F104" i="12"/>
  <c r="T104" i="12"/>
  <c r="G116" i="12"/>
  <c r="F116" i="12"/>
  <c r="T116" i="12"/>
  <c r="G134" i="12"/>
  <c r="T134" i="12"/>
  <c r="I152" i="12"/>
  <c r="G152" i="12"/>
  <c r="T152" i="12"/>
  <c r="U152" i="12" s="1"/>
  <c r="F152" i="12"/>
  <c r="T154" i="12"/>
  <c r="G154" i="12"/>
  <c r="G176" i="12"/>
  <c r="T176" i="12"/>
  <c r="F176" i="12"/>
  <c r="G184" i="12"/>
  <c r="T184" i="12"/>
  <c r="U184" i="12" s="1"/>
  <c r="G137" i="12"/>
  <c r="F137" i="12"/>
  <c r="T137" i="12"/>
  <c r="G186" i="12"/>
  <c r="T186" i="12"/>
  <c r="G149" i="12"/>
  <c r="F149" i="12"/>
  <c r="T149" i="12"/>
  <c r="I148" i="12"/>
  <c r="G148" i="12"/>
  <c r="T148" i="12"/>
  <c r="F148" i="12"/>
  <c r="G128" i="12"/>
  <c r="T128" i="12"/>
  <c r="U128" i="12" s="1"/>
  <c r="V128" i="12" s="1"/>
  <c r="G173" i="12"/>
  <c r="T173" i="12"/>
  <c r="U173" i="12" s="1"/>
  <c r="G103" i="12"/>
  <c r="F103" i="12"/>
  <c r="T103" i="12"/>
  <c r="U103" i="12" s="1"/>
  <c r="I106" i="12"/>
  <c r="G106" i="12"/>
  <c r="T106" i="12"/>
  <c r="F106" i="12"/>
  <c r="G115" i="12"/>
  <c r="F115" i="12"/>
  <c r="T115" i="12"/>
  <c r="G135" i="12"/>
  <c r="T135" i="12"/>
  <c r="U135" i="12" s="1"/>
  <c r="V135" i="12" s="1"/>
  <c r="G151" i="12"/>
  <c r="F151" i="12"/>
  <c r="T151" i="12"/>
  <c r="G158" i="12"/>
  <c r="T158" i="12"/>
  <c r="G179" i="12"/>
  <c r="T179" i="12"/>
  <c r="F179" i="12"/>
  <c r="G185" i="12"/>
  <c r="T185" i="12"/>
  <c r="T122" i="12"/>
  <c r="H160" i="12"/>
  <c r="H123" i="12"/>
  <c r="G123" i="12" s="1"/>
  <c r="I103" i="12"/>
  <c r="I109" i="12"/>
  <c r="I122" i="12"/>
  <c r="R181" i="12"/>
  <c r="R187" i="12" s="1"/>
  <c r="L181" i="12"/>
  <c r="I114" i="12"/>
  <c r="I140" i="12"/>
  <c r="I154" i="12"/>
  <c r="L182" i="12"/>
  <c r="I119" i="12"/>
  <c r="I115" i="12"/>
  <c r="I107" i="12"/>
  <c r="I118" i="12"/>
  <c r="H155" i="12"/>
  <c r="G155" i="12" s="1"/>
  <c r="I137" i="12"/>
  <c r="I150" i="12"/>
  <c r="I146" i="12"/>
  <c r="I176" i="12"/>
  <c r="I180" i="12"/>
  <c r="L184" i="12"/>
  <c r="I184" i="12"/>
  <c r="H132" i="12"/>
  <c r="G132" i="12" s="1"/>
  <c r="I149" i="12"/>
  <c r="I179" i="12"/>
  <c r="I185" i="12"/>
  <c r="I104" i="12"/>
  <c r="I116" i="12"/>
  <c r="I130" i="12"/>
  <c r="I131" i="12" s="1"/>
  <c r="I132" i="12" s="1"/>
  <c r="I186" i="12"/>
  <c r="H136" i="12"/>
  <c r="G136" i="12" s="1"/>
  <c r="I142" i="12"/>
  <c r="I151" i="12"/>
  <c r="I147" i="12"/>
  <c r="H175" i="12"/>
  <c r="G175" i="12" s="1"/>
  <c r="I177" i="12"/>
  <c r="L183" i="12"/>
  <c r="I183" i="12"/>
  <c r="U183" i="12" s="1"/>
  <c r="H187" i="12"/>
  <c r="H98" i="12"/>
  <c r="H99" i="12"/>
  <c r="H100" i="12"/>
  <c r="H97" i="12"/>
  <c r="C91" i="12"/>
  <c r="C92" i="12" s="1"/>
  <c r="H90" i="12"/>
  <c r="H89" i="12"/>
  <c r="H87" i="12"/>
  <c r="H80" i="12"/>
  <c r="H81" i="12"/>
  <c r="H82" i="12"/>
  <c r="H83" i="12"/>
  <c r="H84" i="12"/>
  <c r="H79" i="12"/>
  <c r="H73" i="12"/>
  <c r="H74" i="12"/>
  <c r="H75" i="12"/>
  <c r="H72" i="12"/>
  <c r="H71" i="12"/>
  <c r="H70" i="12"/>
  <c r="H68" i="12"/>
  <c r="H64" i="12"/>
  <c r="H62" i="12"/>
  <c r="H61" i="12"/>
  <c r="C59" i="12"/>
  <c r="H54" i="12"/>
  <c r="H55" i="12"/>
  <c r="H56" i="12"/>
  <c r="H57" i="12"/>
  <c r="H58" i="12"/>
  <c r="H53" i="12"/>
  <c r="C50" i="12"/>
  <c r="C49" i="12"/>
  <c r="H47" i="12"/>
  <c r="H45" i="12"/>
  <c r="H40" i="12"/>
  <c r="H41" i="12"/>
  <c r="H42" i="12"/>
  <c r="H39" i="12"/>
  <c r="H35" i="12"/>
  <c r="H36" i="12"/>
  <c r="H37" i="12"/>
  <c r="H34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17" i="12"/>
  <c r="U18" i="6"/>
  <c r="V18" i="6" s="1"/>
  <c r="U26" i="6"/>
  <c r="V26" i="6" s="1"/>
  <c r="U27" i="6"/>
  <c r="V27" i="6" s="1"/>
  <c r="H15" i="6"/>
  <c r="H16" i="6"/>
  <c r="U16" i="6" s="1"/>
  <c r="V16" i="6" s="1"/>
  <c r="H17" i="6"/>
  <c r="U17" i="6" s="1"/>
  <c r="V17" i="6" s="1"/>
  <c r="H18" i="6"/>
  <c r="H19" i="6"/>
  <c r="U19" i="6" s="1"/>
  <c r="V19" i="6" s="1"/>
  <c r="H20" i="6"/>
  <c r="U20" i="6" s="1"/>
  <c r="V20" i="6" s="1"/>
  <c r="H21" i="6"/>
  <c r="U21" i="6" s="1"/>
  <c r="V21" i="6" s="1"/>
  <c r="H22" i="6"/>
  <c r="U22" i="6" s="1"/>
  <c r="V22" i="6" s="1"/>
  <c r="H23" i="6"/>
  <c r="U23" i="6" s="1"/>
  <c r="V23" i="6" s="1"/>
  <c r="H24" i="6"/>
  <c r="U24" i="6" s="1"/>
  <c r="V24" i="6" s="1"/>
  <c r="H25" i="6"/>
  <c r="U25" i="6" s="1"/>
  <c r="V25" i="6" s="1"/>
  <c r="H26" i="6"/>
  <c r="H27" i="6"/>
  <c r="H28" i="6"/>
  <c r="U28" i="6" s="1"/>
  <c r="V28" i="6" s="1"/>
  <c r="U14" i="6"/>
  <c r="V14" i="6" s="1"/>
  <c r="U104" i="12" l="1"/>
  <c r="U119" i="12"/>
  <c r="U140" i="12"/>
  <c r="U107" i="12"/>
  <c r="V107" i="12" s="1"/>
  <c r="U141" i="12"/>
  <c r="V141" i="12" s="1"/>
  <c r="U154" i="12"/>
  <c r="U179" i="12"/>
  <c r="V179" i="12" s="1"/>
  <c r="U181" i="12"/>
  <c r="V181" i="12" s="1"/>
  <c r="U185" i="12"/>
  <c r="U182" i="12"/>
  <c r="U178" i="12"/>
  <c r="V178" i="12" s="1"/>
  <c r="V127" i="12"/>
  <c r="V129" i="12" s="1"/>
  <c r="U129" i="12"/>
  <c r="V173" i="12"/>
  <c r="U175" i="12"/>
  <c r="G36" i="12"/>
  <c r="T36" i="12"/>
  <c r="U36" i="12" s="1"/>
  <c r="V36" i="12" s="1"/>
  <c r="I75" i="12"/>
  <c r="G75" i="12"/>
  <c r="F75" i="12"/>
  <c r="T75" i="12"/>
  <c r="U75" i="12" s="1"/>
  <c r="G25" i="12"/>
  <c r="T25" i="12"/>
  <c r="U25" i="12" s="1"/>
  <c r="V25" i="12" s="1"/>
  <c r="G34" i="12"/>
  <c r="T34" i="12"/>
  <c r="U34" i="12" s="1"/>
  <c r="V34" i="12" s="1"/>
  <c r="G45" i="12"/>
  <c r="T45" i="12"/>
  <c r="U45" i="12" s="1"/>
  <c r="U46" i="12" s="1"/>
  <c r="G55" i="12"/>
  <c r="T55" i="12"/>
  <c r="U55" i="12" s="1"/>
  <c r="V55" i="12" s="1"/>
  <c r="I71" i="12"/>
  <c r="G71" i="12"/>
  <c r="T71" i="12"/>
  <c r="U71" i="12" s="1"/>
  <c r="F71" i="12"/>
  <c r="G82" i="12"/>
  <c r="T82" i="12"/>
  <c r="U82" i="12" s="1"/>
  <c r="V82" i="12" s="1"/>
  <c r="G100" i="12"/>
  <c r="T100" i="12"/>
  <c r="U100" i="12" s="1"/>
  <c r="V100" i="12" s="1"/>
  <c r="I187" i="12"/>
  <c r="I188" i="12" s="1"/>
  <c r="U106" i="12"/>
  <c r="V106" i="12" s="1"/>
  <c r="U130" i="12"/>
  <c r="T131" i="12"/>
  <c r="H29" i="6"/>
  <c r="U17" i="12"/>
  <c r="G17" i="12"/>
  <c r="G24" i="12"/>
  <c r="T24" i="12"/>
  <c r="U24" i="12" s="1"/>
  <c r="V24" i="12" s="1"/>
  <c r="G37" i="12"/>
  <c r="T37" i="12"/>
  <c r="U37" i="12" s="1"/>
  <c r="V37" i="12" s="1"/>
  <c r="G47" i="12"/>
  <c r="I47" i="12"/>
  <c r="T47" i="12"/>
  <c r="U47" i="12" s="1"/>
  <c r="U48" i="12" s="1"/>
  <c r="G54" i="12"/>
  <c r="T54" i="12"/>
  <c r="U54" i="12" s="1"/>
  <c r="V54" i="12" s="1"/>
  <c r="G72" i="12"/>
  <c r="T72" i="12"/>
  <c r="F72" i="12"/>
  <c r="G81" i="12"/>
  <c r="T81" i="12"/>
  <c r="U81" i="12" s="1"/>
  <c r="V81" i="12" s="1"/>
  <c r="G99" i="12"/>
  <c r="T99" i="12"/>
  <c r="U99" i="12" s="1"/>
  <c r="V99" i="12" s="1"/>
  <c r="V119" i="12"/>
  <c r="L187" i="12"/>
  <c r="H168" i="12"/>
  <c r="G168" i="12" s="1"/>
  <c r="G160" i="12"/>
  <c r="U149" i="12"/>
  <c r="V149" i="12" s="1"/>
  <c r="U116" i="12"/>
  <c r="U145" i="12"/>
  <c r="V145" i="12" s="1"/>
  <c r="U114" i="12"/>
  <c r="V114" i="12" s="1"/>
  <c r="G98" i="12"/>
  <c r="T98" i="12"/>
  <c r="U98" i="12" s="1"/>
  <c r="V98" i="12" s="1"/>
  <c r="G30" i="12"/>
  <c r="T30" i="12"/>
  <c r="U30" i="12" s="1"/>
  <c r="V30" i="12" s="1"/>
  <c r="G74" i="12"/>
  <c r="F74" i="12"/>
  <c r="T74" i="12"/>
  <c r="U39" i="12"/>
  <c r="V39" i="12" s="1"/>
  <c r="G39" i="12"/>
  <c r="T39" i="12"/>
  <c r="G89" i="12"/>
  <c r="T89" i="12"/>
  <c r="F89" i="12"/>
  <c r="U158" i="12"/>
  <c r="T160" i="12"/>
  <c r="T168" i="12" s="1"/>
  <c r="U115" i="12"/>
  <c r="V115" i="12" s="1"/>
  <c r="U186" i="12"/>
  <c r="V186" i="12" s="1"/>
  <c r="T175" i="12"/>
  <c r="G31" i="12"/>
  <c r="T31" i="12"/>
  <c r="U31" i="12" s="1"/>
  <c r="V31" i="12" s="1"/>
  <c r="R188" i="12"/>
  <c r="R190" i="12"/>
  <c r="R191" i="12" s="1"/>
  <c r="G35" i="12"/>
  <c r="T35" i="12"/>
  <c r="U35" i="12" s="1"/>
  <c r="V35" i="12" s="1"/>
  <c r="H188" i="12"/>
  <c r="G188" i="12" s="1"/>
  <c r="G187" i="12"/>
  <c r="U150" i="12"/>
  <c r="V150" i="12" s="1"/>
  <c r="G21" i="12"/>
  <c r="T21" i="12"/>
  <c r="U21" i="12" s="1"/>
  <c r="V21" i="12" s="1"/>
  <c r="I73" i="12"/>
  <c r="G73" i="12"/>
  <c r="F73" i="12"/>
  <c r="T73" i="12"/>
  <c r="G28" i="12"/>
  <c r="T28" i="12"/>
  <c r="U28" i="12" s="1"/>
  <c r="V28" i="12" s="1"/>
  <c r="G20" i="12"/>
  <c r="T20" i="12"/>
  <c r="U20" i="12" s="1"/>
  <c r="V20" i="12" s="1"/>
  <c r="G42" i="12"/>
  <c r="T42" i="12"/>
  <c r="U42" i="12" s="1"/>
  <c r="V42" i="12" s="1"/>
  <c r="G58" i="12"/>
  <c r="T58" i="12"/>
  <c r="U58" i="12" s="1"/>
  <c r="V58" i="12" s="1"/>
  <c r="G64" i="12"/>
  <c r="F64" i="12"/>
  <c r="T64" i="12"/>
  <c r="G79" i="12"/>
  <c r="T79" i="12"/>
  <c r="G90" i="12"/>
  <c r="T90" i="12"/>
  <c r="U90" i="12" s="1"/>
  <c r="V90" i="12" s="1"/>
  <c r="F90" i="12"/>
  <c r="V116" i="12"/>
  <c r="V140" i="12"/>
  <c r="U109" i="12"/>
  <c r="V109" i="12" s="1"/>
  <c r="U138" i="12"/>
  <c r="V138" i="12" s="1"/>
  <c r="T129" i="12"/>
  <c r="T132" i="12" s="1"/>
  <c r="G22" i="12"/>
  <c r="T22" i="12"/>
  <c r="U22" i="12" s="1"/>
  <c r="V22" i="12" s="1"/>
  <c r="G61" i="12"/>
  <c r="T61" i="12"/>
  <c r="U61" i="12" s="1"/>
  <c r="V61" i="12" s="1"/>
  <c r="V175" i="12"/>
  <c r="T155" i="12"/>
  <c r="G62" i="12"/>
  <c r="T62" i="12"/>
  <c r="U62" i="12" s="1"/>
  <c r="G27" i="12"/>
  <c r="T27" i="12"/>
  <c r="U27" i="12" s="1"/>
  <c r="V27" i="12" s="1"/>
  <c r="G19" i="12"/>
  <c r="T19" i="12"/>
  <c r="U19" i="12" s="1"/>
  <c r="V19" i="12" s="1"/>
  <c r="I41" i="12"/>
  <c r="G41" i="12"/>
  <c r="T41" i="12"/>
  <c r="G57" i="12"/>
  <c r="T57" i="12"/>
  <c r="U57" i="12" s="1"/>
  <c r="V57" i="12" s="1"/>
  <c r="G68" i="12"/>
  <c r="T68" i="12"/>
  <c r="T69" i="12" s="1"/>
  <c r="G84" i="12"/>
  <c r="T84" i="12"/>
  <c r="U84" i="12" s="1"/>
  <c r="V84" i="12" s="1"/>
  <c r="V104" i="12"/>
  <c r="V118" i="12"/>
  <c r="U151" i="12"/>
  <c r="V151" i="12" s="1"/>
  <c r="U148" i="12"/>
  <c r="V148" i="12" s="1"/>
  <c r="U176" i="12"/>
  <c r="V152" i="12"/>
  <c r="U177" i="12"/>
  <c r="V177" i="12" s="1"/>
  <c r="U146" i="12"/>
  <c r="V146" i="12" s="1"/>
  <c r="G23" i="12"/>
  <c r="T23" i="12"/>
  <c r="U23" i="12" s="1"/>
  <c r="V23" i="12" s="1"/>
  <c r="G80" i="12"/>
  <c r="T80" i="12"/>
  <c r="U80" i="12" s="1"/>
  <c r="V80" i="12" s="1"/>
  <c r="G87" i="12"/>
  <c r="T87" i="12"/>
  <c r="V182" i="12"/>
  <c r="G29" i="12"/>
  <c r="T29" i="12"/>
  <c r="U29" i="12" s="1"/>
  <c r="V29" i="12" s="1"/>
  <c r="G53" i="12"/>
  <c r="T53" i="12"/>
  <c r="U53" i="12" s="1"/>
  <c r="U15" i="6"/>
  <c r="G26" i="12"/>
  <c r="T26" i="12"/>
  <c r="U26" i="12" s="1"/>
  <c r="V26" i="12" s="1"/>
  <c r="G18" i="12"/>
  <c r="T18" i="12"/>
  <c r="I40" i="12"/>
  <c r="G40" i="12"/>
  <c r="T40" i="12"/>
  <c r="U40" i="12" s="1"/>
  <c r="V40" i="12" s="1"/>
  <c r="G56" i="12"/>
  <c r="T56" i="12"/>
  <c r="U56" i="12" s="1"/>
  <c r="G70" i="12"/>
  <c r="F70" i="12"/>
  <c r="T70" i="12"/>
  <c r="G83" i="12"/>
  <c r="T83" i="12"/>
  <c r="U83" i="12" s="1"/>
  <c r="V83" i="12" s="1"/>
  <c r="G97" i="12"/>
  <c r="T97" i="12"/>
  <c r="V185" i="12"/>
  <c r="I123" i="12"/>
  <c r="I124" i="12" s="1"/>
  <c r="U137" i="12"/>
  <c r="T187" i="12"/>
  <c r="U134" i="12"/>
  <c r="T136" i="12"/>
  <c r="U180" i="12"/>
  <c r="V180" i="12" s="1"/>
  <c r="V144" i="12"/>
  <c r="U142" i="12"/>
  <c r="V142" i="12" s="1"/>
  <c r="U122" i="12"/>
  <c r="T123" i="12"/>
  <c r="V154" i="12"/>
  <c r="H46" i="12"/>
  <c r="G46" i="12" s="1"/>
  <c r="H76" i="12"/>
  <c r="H91" i="12"/>
  <c r="G91" i="12" s="1"/>
  <c r="V183" i="12"/>
  <c r="C51" i="12"/>
  <c r="H63" i="12"/>
  <c r="G63" i="12" s="1"/>
  <c r="H101" i="12"/>
  <c r="H38" i="12"/>
  <c r="H69" i="12"/>
  <c r="G69" i="12" s="1"/>
  <c r="V184" i="12"/>
  <c r="I155" i="12"/>
  <c r="F47" i="12"/>
  <c r="I72" i="12"/>
  <c r="H43" i="12"/>
  <c r="G43" i="12" s="1"/>
  <c r="V103" i="12"/>
  <c r="V75" i="12"/>
  <c r="H48" i="12"/>
  <c r="G48" i="12" s="1"/>
  <c r="I64" i="12"/>
  <c r="I65" i="12" s="1"/>
  <c r="I66" i="12" s="1"/>
  <c r="H65" i="12"/>
  <c r="G65" i="12" s="1"/>
  <c r="H85" i="12"/>
  <c r="G85" i="12" s="1"/>
  <c r="H88" i="12"/>
  <c r="G88" i="12" s="1"/>
  <c r="H32" i="12"/>
  <c r="G32" i="12" s="1"/>
  <c r="H59" i="12"/>
  <c r="G59" i="12" s="1"/>
  <c r="I70" i="12"/>
  <c r="I74" i="12"/>
  <c r="V176" i="12"/>
  <c r="V56" i="12"/>
  <c r="H156" i="12"/>
  <c r="G156" i="12" s="1"/>
  <c r="J5" i="12"/>
  <c r="J4" i="12"/>
  <c r="J3" i="12"/>
  <c r="J2" i="12"/>
  <c r="J1" i="12"/>
  <c r="J5" i="6"/>
  <c r="J4" i="6"/>
  <c r="J3" i="6"/>
  <c r="J2" i="6"/>
  <c r="J1" i="6"/>
  <c r="T188" i="12" l="1"/>
  <c r="T43" i="12"/>
  <c r="U59" i="12"/>
  <c r="U68" i="12"/>
  <c r="U69" i="12" s="1"/>
  <c r="H77" i="12"/>
  <c r="G77" i="12" s="1"/>
  <c r="G76" i="12"/>
  <c r="U123" i="12"/>
  <c r="I43" i="12"/>
  <c r="I50" i="12" s="1"/>
  <c r="I51" i="12" s="1"/>
  <c r="U79" i="12"/>
  <c r="T85" i="12"/>
  <c r="U160" i="12"/>
  <c r="U168" i="12" s="1"/>
  <c r="V158" i="12"/>
  <c r="V160" i="12" s="1"/>
  <c r="V168" i="12" s="1"/>
  <c r="U74" i="12"/>
  <c r="V74" i="12" s="1"/>
  <c r="V17" i="12"/>
  <c r="U97" i="12"/>
  <c r="T101" i="12"/>
  <c r="T124" i="12" s="1"/>
  <c r="V187" i="12"/>
  <c r="V188" i="12" s="1"/>
  <c r="U136" i="12"/>
  <c r="V134" i="12"/>
  <c r="V136" i="12" s="1"/>
  <c r="I201" i="12" s="1"/>
  <c r="U87" i="12"/>
  <c r="T88" i="12"/>
  <c r="T156" i="12"/>
  <c r="I76" i="12"/>
  <c r="V47" i="12"/>
  <c r="V48" i="12" s="1"/>
  <c r="U70" i="12"/>
  <c r="T76" i="12"/>
  <c r="T77" i="12" s="1"/>
  <c r="U18" i="12"/>
  <c r="V18" i="12" s="1"/>
  <c r="V32" i="12" s="1"/>
  <c r="I198" i="12" s="1"/>
  <c r="T32" i="12"/>
  <c r="V53" i="12"/>
  <c r="U72" i="12"/>
  <c r="V72" i="12" s="1"/>
  <c r="V45" i="12"/>
  <c r="V46" i="12" s="1"/>
  <c r="V59" i="12"/>
  <c r="H49" i="12"/>
  <c r="G49" i="12" s="1"/>
  <c r="G38" i="12"/>
  <c r="V15" i="6"/>
  <c r="V29" i="6" s="1"/>
  <c r="U29" i="6"/>
  <c r="L188" i="12"/>
  <c r="L190" i="12"/>
  <c r="L191" i="12" s="1"/>
  <c r="U73" i="12"/>
  <c r="V73" i="12" s="1"/>
  <c r="U89" i="12"/>
  <c r="T91" i="12"/>
  <c r="U38" i="12"/>
  <c r="U49" i="12" s="1"/>
  <c r="H124" i="12"/>
  <c r="G124" i="12" s="1"/>
  <c r="G101" i="12"/>
  <c r="U187" i="12"/>
  <c r="U188" i="12" s="1"/>
  <c r="U41" i="12"/>
  <c r="V41" i="12" s="1"/>
  <c r="V43" i="12" s="1"/>
  <c r="U64" i="12"/>
  <c r="U65" i="12" s="1"/>
  <c r="T65" i="12"/>
  <c r="V71" i="12"/>
  <c r="T38" i="12"/>
  <c r="I156" i="12"/>
  <c r="V122" i="12"/>
  <c r="V123" i="12" s="1"/>
  <c r="V38" i="12"/>
  <c r="V49" i="12" s="1"/>
  <c r="H199" i="12" s="1"/>
  <c r="H92" i="12"/>
  <c r="G92" i="12" s="1"/>
  <c r="H50" i="12"/>
  <c r="U131" i="12"/>
  <c r="U132" i="12" s="1"/>
  <c r="V130" i="12"/>
  <c r="V131" i="12" s="1"/>
  <c r="V70" i="12"/>
  <c r="V62" i="12"/>
  <c r="V63" i="12" s="1"/>
  <c r="U63" i="12"/>
  <c r="H93" i="12"/>
  <c r="V137" i="12"/>
  <c r="V155" i="12" s="1"/>
  <c r="V156" i="12" s="1"/>
  <c r="U155" i="12"/>
  <c r="U156" i="12" s="1"/>
  <c r="H94" i="12"/>
  <c r="G94" i="12" s="1"/>
  <c r="H66" i="12"/>
  <c r="G66" i="12" s="1"/>
  <c r="H190" i="12"/>
  <c r="G190" i="12" s="1"/>
  <c r="V68" i="12" l="1"/>
  <c r="V69" i="12" s="1"/>
  <c r="U66" i="12"/>
  <c r="T93" i="12"/>
  <c r="T189" i="12" s="1"/>
  <c r="T92" i="12"/>
  <c r="U101" i="12"/>
  <c r="U124" i="12" s="1"/>
  <c r="V97" i="12"/>
  <c r="V101" i="12" s="1"/>
  <c r="V124" i="12" s="1"/>
  <c r="T66" i="12"/>
  <c r="T94" i="12"/>
  <c r="T190" i="12" s="1"/>
  <c r="U32" i="12"/>
  <c r="U88" i="12"/>
  <c r="V87" i="12"/>
  <c r="V88" i="12" s="1"/>
  <c r="V50" i="12"/>
  <c r="V51" i="12" s="1"/>
  <c r="I94" i="12"/>
  <c r="I95" i="12" s="1"/>
  <c r="I77" i="12"/>
  <c r="V76" i="12"/>
  <c r="V77" i="12" s="1"/>
  <c r="U91" i="12"/>
  <c r="V89" i="12"/>
  <c r="V91" i="12" s="1"/>
  <c r="U85" i="12"/>
  <c r="V79" i="12"/>
  <c r="V85" i="12" s="1"/>
  <c r="V93" i="12" s="1"/>
  <c r="U43" i="12"/>
  <c r="U50" i="12" s="1"/>
  <c r="U51" i="12" s="1"/>
  <c r="H95" i="12"/>
  <c r="G95" i="12" s="1"/>
  <c r="G93" i="12"/>
  <c r="H51" i="12"/>
  <c r="G51" i="12" s="1"/>
  <c r="G50" i="12"/>
  <c r="U76" i="12"/>
  <c r="U77" i="12" s="1"/>
  <c r="U93" i="12"/>
  <c r="I199" i="12"/>
  <c r="H189" i="12"/>
  <c r="I204" i="12"/>
  <c r="V132" i="12"/>
  <c r="V64" i="12"/>
  <c r="V65" i="12" s="1"/>
  <c r="T191" i="12" l="1"/>
  <c r="V92" i="12"/>
  <c r="I200" i="12"/>
  <c r="V189" i="12"/>
  <c r="I202" i="12"/>
  <c r="H191" i="12"/>
  <c r="G191" i="12" s="1"/>
  <c r="G189" i="12"/>
  <c r="U92" i="12"/>
  <c r="U94" i="12"/>
  <c r="U190" i="12" s="1"/>
  <c r="T95" i="12"/>
  <c r="I190" i="12"/>
  <c r="I191" i="12" s="1"/>
  <c r="V66" i="12"/>
  <c r="V94" i="12"/>
  <c r="U189" i="12"/>
  <c r="P204" i="12"/>
  <c r="U95" i="12" l="1"/>
  <c r="U191" i="12"/>
  <c r="U192" i="12" s="1"/>
  <c r="V190" i="12"/>
  <c r="V191" i="12" s="1"/>
  <c r="U193" i="12" s="1"/>
  <c r="V95" i="12"/>
  <c r="I203" i="12"/>
  <c r="H197" i="12" s="1"/>
  <c r="I197" i="12" l="1"/>
  <c r="K200" i="12" s="1"/>
  <c r="P203" i="12"/>
  <c r="P207" i="12" s="1"/>
  <c r="K201" i="12" l="1"/>
  <c r="K198" i="12"/>
  <c r="K202" i="12"/>
  <c r="K203" i="12"/>
  <c r="K204" i="12"/>
  <c r="K199" i="12"/>
  <c r="P206" i="12"/>
  <c r="P197" i="12"/>
  <c r="Q208" i="12" l="1"/>
  <c r="D15" i="15" l="1"/>
  <c r="E15" i="15" l="1"/>
  <c r="D17" i="15"/>
  <c r="E17" i="15" l="1"/>
  <c r="D16" i="15"/>
  <c r="E16" i="15" l="1"/>
  <c r="D11" i="15"/>
  <c r="D21" i="15"/>
  <c r="D22" i="15"/>
  <c r="E21" i="15" l="1"/>
  <c r="D20" i="15"/>
  <c r="D10" i="15" s="1"/>
  <c r="E22" i="15"/>
  <c r="E11" i="15"/>
  <c r="E10" i="15" l="1"/>
  <c r="E20" i="15"/>
  <c r="D33" i="15" l="1"/>
  <c r="E33" i="15" l="1"/>
  <c r="D32" i="15" l="1"/>
  <c r="D35" i="15" l="1"/>
  <c r="F32" i="15" s="1"/>
  <c r="E32" i="15"/>
  <c r="F11" i="15" l="1"/>
  <c r="F31" i="15"/>
  <c r="F10" i="15"/>
  <c r="F16" i="15"/>
  <c r="F23" i="15"/>
  <c r="F34" i="15"/>
  <c r="F14" i="15"/>
  <c r="F27" i="15"/>
  <c r="F29" i="15"/>
  <c r="F33" i="15"/>
  <c r="F12" i="15"/>
  <c r="F19" i="15"/>
  <c r="F17" i="15"/>
  <c r="F20" i="15"/>
  <c r="F28" i="15"/>
  <c r="F15" i="15"/>
  <c r="F30" i="15"/>
  <c r="F24" i="15"/>
  <c r="F25" i="15"/>
  <c r="E35" i="15"/>
  <c r="D37" i="15" s="1"/>
  <c r="F13" i="15"/>
  <c r="F22" i="15"/>
  <c r="F18" i="15"/>
  <c r="F35" i="15"/>
  <c r="F26" i="15"/>
  <c r="F21" i="15"/>
  <c r="D39" i="15"/>
  <c r="D40" i="15" s="1"/>
  <c r="D41" i="15" s="1"/>
  <c r="D42" i="15" s="1"/>
</calcChain>
</file>

<file path=xl/sharedStrings.xml><?xml version="1.0" encoding="utf-8"?>
<sst xmlns="http://schemas.openxmlformats.org/spreadsheetml/2006/main" count="962" uniqueCount="384">
  <si>
    <t>Директор підприємства</t>
  </si>
  <si>
    <t>Головний інженер</t>
  </si>
  <si>
    <t>Головний бухгалтер</t>
  </si>
  <si>
    <t>Інженер з охорони праці</t>
  </si>
  <si>
    <t>Провідний юрисконсульт</t>
  </si>
  <si>
    <t>Юрисконсульт</t>
  </si>
  <si>
    <t>Інспектор з кадрів</t>
  </si>
  <si>
    <t>Бухгалтер з обліку товаро-матеріальних цінностей</t>
  </si>
  <si>
    <t>Бухгалтер</t>
  </si>
  <si>
    <t>Бухгалтер з нарахування заробітної плати</t>
  </si>
  <si>
    <t>Начальник відділу збуту</t>
  </si>
  <si>
    <t>Помічник начальника по роботі з абонентами</t>
  </si>
  <si>
    <t>Контролер водопровідного господарства промислового сектору</t>
  </si>
  <si>
    <t>Обліковець</t>
  </si>
  <si>
    <t>-</t>
  </si>
  <si>
    <t>Дільниця сервісного обслуговування</t>
  </si>
  <si>
    <t>Разом по відділу збуту</t>
  </si>
  <si>
    <t>Цех водопостачання</t>
  </si>
  <si>
    <t>Начальник цеху</t>
  </si>
  <si>
    <t>Механік цеху</t>
  </si>
  <si>
    <t>Машиніст насосних установок</t>
  </si>
  <si>
    <t>Насосна станція ІІ підйому</t>
  </si>
  <si>
    <t>II</t>
  </si>
  <si>
    <t>Очисні споруди водопроводу</t>
  </si>
  <si>
    <t>Оператор на фільтрах</t>
  </si>
  <si>
    <t>Оператор хлораторної установки</t>
  </si>
  <si>
    <t>Слюсар-ремонтник</t>
  </si>
  <si>
    <t>Слюсар аварійно-відновлювальних робіт</t>
  </si>
  <si>
    <t>V</t>
  </si>
  <si>
    <t>Електрогазозварник</t>
  </si>
  <si>
    <t>Токар</t>
  </si>
  <si>
    <t>Комірник</t>
  </si>
  <si>
    <t>Прибиральник службових приміщень</t>
  </si>
  <si>
    <t>Разом по цеху водопостачання</t>
  </si>
  <si>
    <t>Техніко-експлуатаційна служба водопостачання</t>
  </si>
  <si>
    <t>Головний енергетик</t>
  </si>
  <si>
    <t>Провідний економіст</t>
  </si>
  <si>
    <t>Економіст з матеріально-технічного забезпечення</t>
  </si>
  <si>
    <t>Економіст з праці</t>
  </si>
  <si>
    <t>Разом</t>
  </si>
  <si>
    <t>Виробничо-технічний відділ</t>
  </si>
  <si>
    <t>Старший інженер виробничо-технічного відділу</t>
  </si>
  <si>
    <t>Інженер з експлуатації споруд та устаткування водопровідно-каналізаційного господарства</t>
  </si>
  <si>
    <t xml:space="preserve">Інженер-технолог </t>
  </si>
  <si>
    <t>Технік</t>
  </si>
  <si>
    <t>Хіміко-бактеріологічна лабараторія водопостачання</t>
  </si>
  <si>
    <t>Бактеріолог</t>
  </si>
  <si>
    <t>Лаборант хіміко-бактеріологічного аналізу</t>
  </si>
  <si>
    <t>Енергодільниця</t>
  </si>
  <si>
    <t>Майстер енергодільниці</t>
  </si>
  <si>
    <t>Електромонтер з ремонту та обслуговування електроустаткування</t>
  </si>
  <si>
    <t>Черговий електромонтер з обслуговування підстанції</t>
  </si>
  <si>
    <t>Електрослюсар з ремонту устаткування розподільних пристроїв</t>
  </si>
  <si>
    <t>Рембуддільниця</t>
  </si>
  <si>
    <t>Майстер рембуддільниці</t>
  </si>
  <si>
    <t>Маляр</t>
  </si>
  <si>
    <t>Муляр</t>
  </si>
  <si>
    <t>Оператор на решітці</t>
  </si>
  <si>
    <t>Обслуговування каналізаційних мереж</t>
  </si>
  <si>
    <t>Обслуговування очисних споруд</t>
  </si>
  <si>
    <t>Оператор на відстійниках первинних</t>
  </si>
  <si>
    <t>Оператор на відстійниках вторинних</t>
  </si>
  <si>
    <t>Оператор споруд для видалення осаду</t>
  </si>
  <si>
    <t>Службові приміщення</t>
  </si>
  <si>
    <t>Разом по цеху очисні споруди каналізації</t>
  </si>
  <si>
    <t>Хіміко-бактеріологічна лабараторія водовідведення</t>
  </si>
  <si>
    <t>Дільниця водопровідних мереж</t>
  </si>
  <si>
    <t>Начальник дільниці</t>
  </si>
  <si>
    <t>Обслуговування та аварійний ремонт водопровідної мережі</t>
  </si>
  <si>
    <t>ІV</t>
  </si>
  <si>
    <t>ІІІ</t>
  </si>
  <si>
    <t>Автотранспортний цех</t>
  </si>
  <si>
    <t>Старший диспетчер</t>
  </si>
  <si>
    <t>Диспетчер</t>
  </si>
  <si>
    <t>Фельдшер</t>
  </si>
  <si>
    <t>Машиніст екскаватора</t>
  </si>
  <si>
    <t>Тракторист</t>
  </si>
  <si>
    <t>Слюсар з ремонту колісних транспортних засобів</t>
  </si>
  <si>
    <t>Прибиральник територій</t>
  </si>
  <si>
    <t>Разом по автотранспортному цеху</t>
  </si>
  <si>
    <t xml:space="preserve"> МКП "Покроводоканал"</t>
  </si>
  <si>
    <t>№ з/п</t>
  </si>
  <si>
    <t>Назва структурного підрозділу та посад</t>
  </si>
  <si>
    <t>Кількість штатних посад</t>
  </si>
  <si>
    <t>Розряд, коєфіцієнт до 1-го розряду</t>
  </si>
  <si>
    <t>Розрахунок розряду робітників</t>
  </si>
  <si>
    <t>Посадовий оклад (грн.)</t>
  </si>
  <si>
    <t>Усього основна заробітна плата, грн.</t>
  </si>
  <si>
    <t>Доплата за особливі умови праці, грн</t>
  </si>
  <si>
    <t>Надбавки (грн.)</t>
  </si>
  <si>
    <t>Доплати (грн.)</t>
  </si>
  <si>
    <t>Інші заохочувальні виплати  (грн)</t>
  </si>
  <si>
    <t>Фонд заробітної плати на місяць (грн.)</t>
  </si>
  <si>
    <t>I</t>
  </si>
  <si>
    <t>коефіцієнт</t>
  </si>
  <si>
    <t>годинна тар. ст.</t>
  </si>
  <si>
    <t>%</t>
  </si>
  <si>
    <t>За класність водіїв</t>
  </si>
  <si>
    <t>за роботу у нічний час 35 %</t>
  </si>
  <si>
    <t>за роботу у святкові дні</t>
  </si>
  <si>
    <t>за ненормований робочий день</t>
  </si>
  <si>
    <t>Апарат управління</t>
  </si>
  <si>
    <t>Заступник директра підприємства</t>
  </si>
  <si>
    <t xml:space="preserve">Фахівець з безпеки </t>
  </si>
  <si>
    <t>Секретар</t>
  </si>
  <si>
    <t>Сташий бухгалтер( з дипломом магістра)</t>
  </si>
  <si>
    <t>Разом по аппарату управління</t>
  </si>
  <si>
    <t>Відділ збуту</t>
  </si>
  <si>
    <t>Економіст з договорної роботи</t>
  </si>
  <si>
    <t>Усього ІТР</t>
  </si>
  <si>
    <t>Оператор комп*ютерного набору</t>
  </si>
  <si>
    <t xml:space="preserve">Контролер водопровідного господарства </t>
  </si>
  <si>
    <t>Усього робітників</t>
  </si>
  <si>
    <t>Майстер</t>
  </si>
  <si>
    <t>Усьго ІТР</t>
  </si>
  <si>
    <t>ⅠⅤ</t>
  </si>
  <si>
    <t>Разом по відділу збуту ІТР</t>
  </si>
  <si>
    <t>Разом по відділу збуту робітників</t>
  </si>
  <si>
    <t>Завідувач лабараторії</t>
  </si>
  <si>
    <t>Лабарант хіміко-бактеріологічного аналізу</t>
  </si>
  <si>
    <t>Усього по хіміко-бактеріологічній лабараторіїї водопостачання</t>
  </si>
  <si>
    <t>Усього ІТР по енергодільниці</t>
  </si>
  <si>
    <t>Слюсар з контрольно-вимірювальних приладів та атоматики</t>
  </si>
  <si>
    <t>Ⅴ</t>
  </si>
  <si>
    <t>Електромонтер з ремонту та обслуговування електрообладнання</t>
  </si>
  <si>
    <t>Усього робітників по енергодільниці</t>
  </si>
  <si>
    <t>Усього по енергодільниці</t>
  </si>
  <si>
    <t>Начальник виробничо-технічного відділу</t>
  </si>
  <si>
    <t>Усього ІТР по виробничо-технічного відділу</t>
  </si>
  <si>
    <t>Усього ІТР рембуддільниці</t>
  </si>
  <si>
    <t>Усього робітників по рембуддільниці</t>
  </si>
  <si>
    <t>Усього по рембуддільниці</t>
  </si>
  <si>
    <t>Разом ІТР по техніко-експлуатаційній службі  водопостачання</t>
  </si>
  <si>
    <t>Разом робітниів по техніко-експлуатаційній службі  водопостачання</t>
  </si>
  <si>
    <t>Разом по техніко-експлуатаційній службі  водопостачання</t>
  </si>
  <si>
    <t>Фахівець з цивільного захисту</t>
  </si>
  <si>
    <t>Усього ІТР по цеху водопостачання</t>
  </si>
  <si>
    <t>Насосна станція І підйому</t>
  </si>
  <si>
    <t>ІІ</t>
  </si>
  <si>
    <t>ⅤІ</t>
  </si>
  <si>
    <t>Службові приміщення,склад,територія</t>
  </si>
  <si>
    <t>Усього робітників по цеху водопостачання</t>
  </si>
  <si>
    <t>Техніко-експлуатаційна служба водоведведення</t>
  </si>
  <si>
    <t>Усього ІТР по хіміко-бактеріологічній лабараторії водовідведення</t>
  </si>
  <si>
    <t>Усього робітників по хіміко-бактеріологічній лабараторії водовідведення</t>
  </si>
  <si>
    <t>Усього по хіміко-бактеріологічній лабараторії водовідведення</t>
  </si>
  <si>
    <t>Цех очистні споруди каналізації</t>
  </si>
  <si>
    <t>Усього ІТР по цеху очистні споруди каналізації</t>
  </si>
  <si>
    <t>Оператор установки для зневоднення осаду</t>
  </si>
  <si>
    <t>Усього роботників по цеху очисні споруди каналізації</t>
  </si>
  <si>
    <t>Усього ІТР по дільниці водпровідних мереж</t>
  </si>
  <si>
    <t>Усього робітників по дільниці  водпровідних мереж</t>
  </si>
  <si>
    <t>Разом по дільниці водопровідних мереж</t>
  </si>
  <si>
    <t>Механік</t>
  </si>
  <si>
    <t>Усього ІТР по автортраспортному цеху</t>
  </si>
  <si>
    <t>Водій автотранспорнтих засобів категорії "В"</t>
  </si>
  <si>
    <t>Водій автотранспорнтих засобів категорії "С1"</t>
  </si>
  <si>
    <t>Водій автотранспорнтих засобів категорії "С1"(ЗІЛ-130КС)</t>
  </si>
  <si>
    <t>Водій автотранспорнтих засобів категорії "С"(КамАЗ5511)</t>
  </si>
  <si>
    <t>Усього робітників по автотранспортному цеху</t>
  </si>
  <si>
    <t>УСЬОГО ПО ПІДПРИЄМСТВУ ІТР</t>
  </si>
  <si>
    <t>УСЬОГО ПО ПІДПРИЄМСТВУ РОБІТНИКІВ</t>
  </si>
  <si>
    <t xml:space="preserve">УСЬОГО ПО ПІДПРИЄМСТВУ </t>
  </si>
  <si>
    <t>ФОП  НА МІСЯЦЬ</t>
  </si>
  <si>
    <t>За професыйну мастернысть</t>
  </si>
  <si>
    <t>до мінімальної заробітної плати</t>
  </si>
  <si>
    <t>Планові показники</t>
  </si>
  <si>
    <t>Один. виміру</t>
  </si>
  <si>
    <t xml:space="preserve">Сума
</t>
  </si>
  <si>
    <t>населення</t>
  </si>
  <si>
    <t>бюджетні установи</t>
  </si>
  <si>
    <t>інші споживачі</t>
  </si>
  <si>
    <t xml:space="preserve">Річна сума, грн. </t>
  </si>
  <si>
    <t>Питома вага, %</t>
  </si>
  <si>
    <t xml:space="preserve">Виробнича собівартість </t>
  </si>
  <si>
    <t>грн</t>
  </si>
  <si>
    <t>1.</t>
  </si>
  <si>
    <t>Прямі витрати, в т.ч.</t>
  </si>
  <si>
    <t>1.1</t>
  </si>
  <si>
    <t>Прямі матеріальні витрати, в т.ч.</t>
  </si>
  <si>
    <t>1.1.1</t>
  </si>
  <si>
    <t>Електроенергія на технічні потреби</t>
  </si>
  <si>
    <t>1.1.2</t>
  </si>
  <si>
    <t>1.2</t>
  </si>
  <si>
    <t>Прямі витрати на оплату праці</t>
  </si>
  <si>
    <t>1.3</t>
  </si>
  <si>
    <t>Інші прямі витрати, в т.ч.:</t>
  </si>
  <si>
    <t>1.3.1</t>
  </si>
  <si>
    <t>Нарахування на ЗП (ЄСВ-22%)</t>
  </si>
  <si>
    <t>1.3.2</t>
  </si>
  <si>
    <t>1.3.3</t>
  </si>
  <si>
    <t>2.</t>
  </si>
  <si>
    <t>Загальновиробничі витрати, в т.ч.:</t>
  </si>
  <si>
    <t>2.1</t>
  </si>
  <si>
    <t>Заробітна плата ЗВП</t>
  </si>
  <si>
    <t>2.2</t>
  </si>
  <si>
    <t>ЄСВ на заробітну плату ЗВП (22%)</t>
  </si>
  <si>
    <t>2.3</t>
  </si>
  <si>
    <t>2.4</t>
  </si>
  <si>
    <t>2.5</t>
  </si>
  <si>
    <t>2.6</t>
  </si>
  <si>
    <t>2.7</t>
  </si>
  <si>
    <t>2.8</t>
  </si>
  <si>
    <t>2.9</t>
  </si>
  <si>
    <t>2.10</t>
  </si>
  <si>
    <t>Адміністративні витрати</t>
  </si>
  <si>
    <t>Повна планована собівартість</t>
  </si>
  <si>
    <t>Собівартість</t>
  </si>
  <si>
    <t>VІ</t>
  </si>
  <si>
    <t>Рентабельність 0%</t>
  </si>
  <si>
    <t>VІІ</t>
  </si>
  <si>
    <t>Всього разом з рентабільністю</t>
  </si>
  <si>
    <t>VІІІ</t>
  </si>
  <si>
    <t>ПДВ</t>
  </si>
  <si>
    <t>ІХ</t>
  </si>
  <si>
    <t>Х</t>
  </si>
  <si>
    <t>Фонд оплати праці -</t>
  </si>
  <si>
    <t xml:space="preserve">Фонд оплати праці робітників адмінперсоналу - </t>
  </si>
  <si>
    <t xml:space="preserve">Фонд оплати праці загальновиробничого персоналу - </t>
  </si>
  <si>
    <t>Фонд оплати праці робітників водопостачання -</t>
  </si>
  <si>
    <t>Фонд оплати праці робітників водовідведення -</t>
  </si>
  <si>
    <t>Фонд оплати праці робітників збуту послуг -</t>
  </si>
  <si>
    <t xml:space="preserve">Фонд оплати праці загальновиробничого персоналу водопостачання - </t>
  </si>
  <si>
    <t xml:space="preserve">Фонд оплати праці загальновиробничого персоналу водовідведення - </t>
  </si>
  <si>
    <t>Витрати на збут</t>
  </si>
  <si>
    <t>Запчастини</t>
  </si>
  <si>
    <t>Амортизація ОЗ та МНМА</t>
  </si>
  <si>
    <t>Інші матеріальні витрати</t>
  </si>
  <si>
    <t>Виконавець</t>
  </si>
  <si>
    <t>Інші витрати загальновиробничого призначення</t>
  </si>
  <si>
    <t>2.11</t>
  </si>
  <si>
    <t>ХІ</t>
  </si>
  <si>
    <t>Фінансові витрати</t>
  </si>
  <si>
    <t>В тому числі:</t>
  </si>
  <si>
    <t>Фонд оплати праці робітників постачання питної води -</t>
  </si>
  <si>
    <t>Фонд оплати праці робітників постачання технічної води -</t>
  </si>
  <si>
    <t>Загальний обсяг наданих послуг в/п (тех. вода)</t>
  </si>
  <si>
    <t>Реалізація технічної води, всього, в т.ч.:</t>
  </si>
  <si>
    <t>Підйом води</t>
  </si>
  <si>
    <t>Витрати на оплату службових відряджень</t>
  </si>
  <si>
    <t>Витрати на утримання та експлуатацію ОЗ та НА</t>
  </si>
  <si>
    <t>Витрати на паливо мастильні матеріали</t>
  </si>
  <si>
    <t>2</t>
  </si>
  <si>
    <t>Витрати на охорону праці</t>
  </si>
  <si>
    <t>Витрати на ремонт основних засобів 
та необоротних активів</t>
  </si>
  <si>
    <t>Витрати на утримання 
виробничих приміщень</t>
  </si>
  <si>
    <t>Витрати на оплату послуг 
спеціалізованих підприємств</t>
  </si>
  <si>
    <t>Розрахунок фонду оплати праці</t>
  </si>
  <si>
    <t xml:space="preserve"> Міського комунального підприємства "Покроводоканал"</t>
  </si>
  <si>
    <t>Фахівець з публічних закупівель</t>
  </si>
  <si>
    <t>на січень - червень 2021 року</t>
  </si>
  <si>
    <t>Слюсар-сантехнік</t>
  </si>
  <si>
    <t>Головний механік</t>
  </si>
  <si>
    <t>Технік-програміст</t>
  </si>
  <si>
    <t>Заступник начальника ВТВ</t>
  </si>
  <si>
    <t xml:space="preserve">Шолохівська насосна станція </t>
  </si>
  <si>
    <t>ФОП за січень - червень 2021р, грн</t>
  </si>
  <si>
    <t>ФОП робітників виробництва за січень - червень 2021р</t>
  </si>
  <si>
    <t>на липень - листопад 2021 року</t>
  </si>
  <si>
    <t xml:space="preserve"> Фонд заробітної плати на січень - червень 2021 року (грн.)</t>
  </si>
  <si>
    <t xml:space="preserve"> Фонд заробітної плати на липень - листопад 2021 року (грн.)</t>
  </si>
  <si>
    <t>ФОП за липень-листопад 2021р, грн</t>
  </si>
  <si>
    <t>ФОП робітників виробництва за липень- листопад 2021р</t>
  </si>
  <si>
    <t xml:space="preserve">Повна собівартість та середньозважений тариф на послугу з централізованого водопостачання по МКП "Покровводоканал" на 2021р. (технічна вода)
</t>
  </si>
  <si>
    <t>ФОП  НА ЛИПЕНЬ - ЛИСТОПАД 2021 РОКУ</t>
  </si>
  <si>
    <t>ФОП  НА СІЧЕНЬ - ЧЕРВЕНЬ 2021 РОКУ</t>
  </si>
  <si>
    <t>За професійну майстерність</t>
  </si>
  <si>
    <t>Техніко-експлуатаційна служба водовідведення</t>
  </si>
  <si>
    <r>
      <t>ЗАТВЕРДЖЕНО</t>
    </r>
    <r>
      <rPr>
        <sz val="8"/>
        <color indexed="8"/>
        <rFont val="Times New Roman"/>
        <family val="1"/>
        <charset val="204"/>
      </rPr>
      <t> </t>
    </r>
  </si>
  <si>
    <r>
      <t>Наказ Міністерства фінансів</t>
    </r>
    <r>
      <rPr>
        <sz val="8"/>
        <color indexed="8"/>
        <rFont val="Times New Roman"/>
        <family val="1"/>
        <charset val="204"/>
      </rPr>
      <t> України 28.01.2002 № 57 (у редакції наказу Міністерства фінансів України від 26.11.2012 № 1220)</t>
    </r>
  </si>
  <si>
    <t>грн.</t>
  </si>
  <si>
    <t>Т.П.Миронюк</t>
  </si>
  <si>
    <t>Слюсар з контрольно-вимірювальних приладів та автоматики</t>
  </si>
  <si>
    <t>Інші заохочувальні виплати  КОЯП, (грн)</t>
  </si>
  <si>
    <t xml:space="preserve"> законодавчо встановлений розмір мінімальної з/ пл з 01.01.21р. від прожиткового мін.</t>
  </si>
  <si>
    <t>законодавчо встановлений розмір мінімальної з/ пл з 01.07.21р. від прожиткового мін.</t>
  </si>
  <si>
    <r>
      <t xml:space="preserve"> РОЗРАХУНОК:   1 розряд  =  2379грн *1,8 *1,58 *1,0/166,17 =   40грн. 72 коп , річний фонд робочого часу у 2021 році 1994 години, місячний фонд робочого часу - 166,17 годин. </t>
    </r>
    <r>
      <rPr>
        <b/>
        <sz val="8"/>
        <color theme="1"/>
        <rFont val="Times New Roman"/>
        <family val="1"/>
        <charset val="204"/>
      </rPr>
      <t>з 01.07.2021 р.</t>
    </r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</si>
  <si>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</si>
  <si>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r>
      <t>Сума
на 1 м</t>
    </r>
    <r>
      <rPr>
        <vertAlign val="superscript"/>
        <sz val="9"/>
        <rFont val="Times New Roman"/>
        <family val="1"/>
        <charset val="204"/>
      </rPr>
      <t>3</t>
    </r>
  </si>
  <si>
    <r>
      <t>м</t>
    </r>
    <r>
      <rPr>
        <vertAlign val="superscript"/>
        <sz val="9"/>
        <rFont val="Times New Roman"/>
        <family val="1"/>
        <charset val="204"/>
      </rPr>
      <t>3</t>
    </r>
  </si>
  <si>
    <r>
      <t>Вартість 1м</t>
    </r>
    <r>
      <rPr>
        <b/>
        <vertAlign val="superscript"/>
        <sz val="9"/>
        <rFont val="Times New Roman"/>
        <family val="1"/>
        <charset val="204"/>
      </rPr>
      <t>3</t>
    </r>
  </si>
  <si>
    <t>Базові розрахунки  посадових окладів, часових тарифних ставок</t>
  </si>
  <si>
    <t>Коефіцієнт співвідношень мінімальної тарифної ставки робітника першого розряду по виду робіт "Експлуатація та обслуговування обладнання систем водозабезпечення та водовідведення"</t>
  </si>
  <si>
    <t>Відсоток до прожиткового мінімуму</t>
  </si>
  <si>
    <t>Середньомісячний фонд робочого часу</t>
  </si>
  <si>
    <t>год.</t>
  </si>
  <si>
    <t>Таблиця № 1</t>
  </si>
  <si>
    <t>Розрахунок часових тарифних ставок робітників</t>
  </si>
  <si>
    <t>Види робіт</t>
  </si>
  <si>
    <t>Розряди</t>
  </si>
  <si>
    <t>III</t>
  </si>
  <si>
    <t>IV</t>
  </si>
  <si>
    <t>VI</t>
  </si>
  <si>
    <t>Міжрозрядні тарифні коефіціенти</t>
  </si>
  <si>
    <t xml:space="preserve"> "Експлуатація та обслуговування обладнання систем водозабезпечення та водовідведення"</t>
  </si>
  <si>
    <t>Годинні тарифні ставки</t>
  </si>
  <si>
    <t>Таблиця №2</t>
  </si>
  <si>
    <t>Розрахунок часових тарифних ставок водіїв</t>
  </si>
  <si>
    <t>Коефіціцієнт   співвідношень тарифних ставок водіїв до  встановленої Галузевою угодою мінімальної тарифної ставки робітника 1-го розряду</t>
  </si>
  <si>
    <t>Керування автомобільним транспортом</t>
  </si>
  <si>
    <t>Коефіціент встановлений галузевою угодою за видами транспорту</t>
  </si>
  <si>
    <t>водіїї легкових автомобілів</t>
  </si>
  <si>
    <t>водії вантажних автомобілів</t>
  </si>
  <si>
    <t>водіїї спецттранспорту</t>
  </si>
  <si>
    <t>водії КАМАЗ</t>
  </si>
  <si>
    <t>Заступник головного бухгалтера</t>
  </si>
  <si>
    <t>Годинна тарифна ставка</t>
  </si>
  <si>
    <t>Разом по апарату управління</t>
  </si>
  <si>
    <t>Таблиця розрахунку №3</t>
  </si>
  <si>
    <t>Заступник начальника відділу збуту</t>
  </si>
  <si>
    <t>Розрахунок посадових окладів керівників, спеціалістів та технічних службовців</t>
  </si>
  <si>
    <t>Всього ІТР</t>
  </si>
  <si>
    <t>Розрахунок тарифих ставок для працівників дільниці водопровідних мереж та дільниці по обслуговуванню каналізаційниїх мереж ОСК</t>
  </si>
  <si>
    <t>Всього робітників</t>
  </si>
  <si>
    <t xml:space="preserve">Техніко-експлуатаційна служба </t>
  </si>
  <si>
    <t>Головний технолог</t>
  </si>
  <si>
    <t>Планово-економічний відділ</t>
  </si>
  <si>
    <t>Начальник планово-економічного відділу</t>
  </si>
  <si>
    <t>Всього по хіміко-бактеріологічній лабараторіїї водопостачання</t>
  </si>
  <si>
    <t>Ларіонова</t>
  </si>
  <si>
    <t>Всього ІТР по хіміко-бактеріологічній лабараторії водовідведення</t>
  </si>
  <si>
    <t>Всього робітників по хіміко-бактеріологічній лабараторії водовідведення</t>
  </si>
  <si>
    <t>Всього по хіміко-бактеріологічній лабараторії водовідведення</t>
  </si>
  <si>
    <t>Всього ІТР по енергодільниці</t>
  </si>
  <si>
    <t>Шматов</t>
  </si>
  <si>
    <t>Долженков</t>
  </si>
  <si>
    <t>Всього робітників по енергодільниці</t>
  </si>
  <si>
    <t>Всього по енергодільниці</t>
  </si>
  <si>
    <t>Всього ІТР по виробничо-технічного відділу</t>
  </si>
  <si>
    <t>Всього ІТР рембуддільниці</t>
  </si>
  <si>
    <t>Всього робітників по рембуддільниці</t>
  </si>
  <si>
    <t>Всього по рембуддільниці</t>
  </si>
  <si>
    <t xml:space="preserve">Разом ІТР по техніко-експлуатаційній службі  </t>
  </si>
  <si>
    <t xml:space="preserve">Разом робітників по техніко-експлуатаційній службі  </t>
  </si>
  <si>
    <t xml:space="preserve">Разом по техніко-експлуатаційній службі  </t>
  </si>
  <si>
    <t>Всього ІТР по цеху водопостачання</t>
  </si>
  <si>
    <t>Сємак</t>
  </si>
  <si>
    <t>Службові приміщення,склад, територія</t>
  </si>
  <si>
    <t>Пацеріна</t>
  </si>
  <si>
    <t>Всього робітників по цеху водопостачання</t>
  </si>
  <si>
    <t>Обслуговування каналізаційних насосних станцій</t>
  </si>
  <si>
    <t>Овечко</t>
  </si>
  <si>
    <t>Дільниця по обслуговуванню каналізаційних мереж</t>
  </si>
  <si>
    <t>Всього ІТР по цеху очистні споруди каналізації</t>
  </si>
  <si>
    <t>Всього роботників по цеху очисні споруди каналізації</t>
  </si>
  <si>
    <t>Всього ІТР по дільниці водпровідних мереж</t>
  </si>
  <si>
    <t>Всього робітників по дільниці  водпровідних мереж</t>
  </si>
  <si>
    <t>Всього ІТР по автотранспортному цеху</t>
  </si>
  <si>
    <t>ІⅤ</t>
  </si>
  <si>
    <t>Всього робітників по автотранспортному цеху</t>
  </si>
  <si>
    <t>Всього ІТР по підприємству</t>
  </si>
  <si>
    <t>Всього робітників по підприємству</t>
  </si>
  <si>
    <t>ФОП  по підприємству</t>
  </si>
  <si>
    <t>галузева угода</t>
  </si>
  <si>
    <t>Доплата за особливі умови праці</t>
  </si>
  <si>
    <t>годинна тарифна ставка</t>
  </si>
  <si>
    <t>Прожитковий мінімум для працездатних осіб з 01.01. по 31.12.2023 рік</t>
  </si>
  <si>
    <t>Диспетчерська служба</t>
  </si>
  <si>
    <t xml:space="preserve">Диспетчер </t>
  </si>
  <si>
    <t>Всього ІТР по диспетчерській службі</t>
  </si>
  <si>
    <t>Очисні споруди водоводу</t>
  </si>
  <si>
    <t>Оператор дистанційного пульту керування у водопровідно-каналізаційному господарстві</t>
  </si>
  <si>
    <t>Надбавки за
класність водіїв (25%)</t>
  </si>
  <si>
    <t>за роботу у нічний час
35 %</t>
  </si>
  <si>
    <t>Посадовий оклад, грн</t>
  </si>
  <si>
    <t>Фонд заробітної плати на місяць, грн</t>
  </si>
  <si>
    <t>РАЗОМ по підприємству</t>
  </si>
  <si>
    <t>ЄСВ</t>
  </si>
  <si>
    <t>2684 грн*180%*1,58*міжрозрядний тарифний коефіціент/164,75 год.</t>
  </si>
  <si>
    <t>2684грн.*180%*коефіціент за видами транспорту/164,75 год</t>
  </si>
  <si>
    <t>ФОП щомісяця по відділу збуту</t>
  </si>
  <si>
    <t>ЄСВ за рік</t>
  </si>
  <si>
    <t>Дяченко О.О.</t>
  </si>
  <si>
    <t>Глущенко В.В.</t>
  </si>
  <si>
    <t>Зоська М.В.</t>
  </si>
  <si>
    <t>2684 грн*180%*1,58*коефіціент співвідношення</t>
  </si>
  <si>
    <t>(2684 грн.*180%*1,58*1,54 )/165,58люд/год- розрахунок для слюсар АВР 5 розряду</t>
  </si>
  <si>
    <t>(2684 грн.*180%*1,58*1,35 )/165,58 люд.год.- розрахунок для слюсар АВР 4 розряду</t>
  </si>
  <si>
    <t xml:space="preserve"> МКП "Покровводоканал"</t>
  </si>
  <si>
    <r>
      <t>Оператор комп</t>
    </r>
    <r>
      <rPr>
        <sz val="14"/>
        <rFont val="Arial Narrow"/>
        <family val="2"/>
        <charset val="204"/>
      </rPr>
      <t>’</t>
    </r>
    <r>
      <rPr>
        <sz val="14"/>
        <rFont val="Times New Roman"/>
        <family val="1"/>
        <charset val="204"/>
      </rPr>
      <t>ютерного набору</t>
    </r>
  </si>
  <si>
    <t>Розряд, коєф. до
1-го розряду</t>
  </si>
  <si>
    <t>Фонд заробітної плати, 01.08.2023-31.12.2023</t>
  </si>
  <si>
    <t>з 01.08.2023 року</t>
  </si>
  <si>
    <r>
      <t>ПРОЕКТ ШТАТНОГО РОЗПИСУ</t>
    </r>
    <r>
      <rPr>
        <sz val="18"/>
        <color indexed="8"/>
        <rFont val="Times New Roman"/>
        <family val="1"/>
        <charset val="20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</si>
</sst>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#,##0.000"/>
    <numFmt numFmtId="167" formatCode="#,##0.00_р_."/>
  </numFmts>
  <fonts count="6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i/>
      <u/>
      <sz val="12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u/>
      <sz val="8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Arial Narrow"/>
      <family val="2"/>
      <charset val="204"/>
    </font>
    <font>
      <b/>
      <u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3"/>
      </bottom>
      <diagonal/>
    </border>
  </borders>
  <cellStyleXfs count="1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  <xf numFmtId="0" fontId="1" fillId="0" borderId="0"/>
    <xf numFmtId="0" fontId="4" fillId="0" borderId="0"/>
    <xf numFmtId="0" fontId="4" fillId="0" borderId="0"/>
    <xf numFmtId="9" fontId="1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88">
    <xf numFmtId="0" fontId="0" fillId="0" borderId="0" xfId="0"/>
    <xf numFmtId="0" fontId="15" fillId="0" borderId="0" xfId="2" applyFont="1" applyAlignment="1">
      <alignment horizontal="center"/>
    </xf>
    <xf numFmtId="2" fontId="16" fillId="0" borderId="0" xfId="2" applyNumberFormat="1" applyFont="1" applyAlignment="1">
      <alignment horizontal="center"/>
    </xf>
    <xf numFmtId="0" fontId="17" fillId="0" borderId="0" xfId="2" applyFont="1"/>
    <xf numFmtId="0" fontId="15" fillId="0" borderId="0" xfId="2" applyFo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/>
    <xf numFmtId="0" fontId="18" fillId="0" borderId="1" xfId="2" applyFont="1" applyBorder="1" applyAlignment="1">
      <alignment vertical="top" wrapText="1"/>
    </xf>
    <xf numFmtId="0" fontId="18" fillId="0" borderId="2" xfId="2" applyFont="1" applyBorder="1" applyAlignment="1">
      <alignment vertical="top" wrapText="1"/>
    </xf>
    <xf numFmtId="0" fontId="13" fillId="0" borderId="0" xfId="2"/>
    <xf numFmtId="0" fontId="16" fillId="0" borderId="0" xfId="2" applyFont="1"/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3" borderId="0" xfId="2" applyFont="1" applyFill="1"/>
    <xf numFmtId="0" fontId="15" fillId="3" borderId="0" xfId="2" applyFont="1" applyFill="1"/>
    <xf numFmtId="0" fontId="18" fillId="3" borderId="3" xfId="2" applyFont="1" applyFill="1" applyBorder="1" applyAlignment="1">
      <alignment horizontal="left"/>
    </xf>
    <xf numFmtId="0" fontId="19" fillId="3" borderId="0" xfId="2" applyFont="1" applyFill="1"/>
    <xf numFmtId="0" fontId="20" fillId="3" borderId="0" xfId="2" applyFont="1" applyFill="1"/>
    <xf numFmtId="0" fontId="21" fillId="0" borderId="0" xfId="2" applyFont="1" applyAlignment="1">
      <alignment horizontal="center"/>
    </xf>
    <xf numFmtId="0" fontId="21" fillId="0" borderId="0" xfId="2" applyFont="1" applyAlignment="1"/>
    <xf numFmtId="2" fontId="21" fillId="0" borderId="0" xfId="2" applyNumberFormat="1" applyFont="1" applyAlignment="1">
      <alignment horizont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13" fillId="0" borderId="0" xfId="2" applyAlignment="1">
      <alignment vertical="center"/>
    </xf>
    <xf numFmtId="0" fontId="21" fillId="0" borderId="0" xfId="2" applyFont="1" applyAlignment="1">
      <alignment wrapText="1"/>
    </xf>
    <xf numFmtId="10" fontId="3" fillId="0" borderId="0" xfId="4" applyNumberFormat="1" applyFont="1" applyBorder="1" applyAlignment="1">
      <alignment horizontal="center" vertical="center" wrapText="1"/>
    </xf>
    <xf numFmtId="2" fontId="3" fillId="0" borderId="0" xfId="4" applyNumberFormat="1" applyFont="1" applyFill="1" applyBorder="1" applyAlignment="1">
      <alignment horizontal="center" vertical="center" wrapText="1"/>
    </xf>
    <xf numFmtId="0" fontId="5" fillId="0" borderId="0" xfId="6" applyFont="1" applyBorder="1" applyAlignment="1"/>
    <xf numFmtId="0" fontId="22" fillId="3" borderId="10" xfId="2" applyFont="1" applyFill="1" applyBorder="1" applyAlignment="1">
      <alignment vertical="top" wrapText="1"/>
    </xf>
    <xf numFmtId="0" fontId="22" fillId="3" borderId="10" xfId="2" applyFont="1" applyFill="1" applyBorder="1" applyAlignment="1">
      <alignment horizontal="center" vertical="top" wrapText="1"/>
    </xf>
    <xf numFmtId="0" fontId="22" fillId="3" borderId="12" xfId="2" applyFont="1" applyFill="1" applyBorder="1" applyAlignment="1">
      <alignment vertical="top" wrapText="1"/>
    </xf>
    <xf numFmtId="0" fontId="22" fillId="3" borderId="13" xfId="2" applyFont="1" applyFill="1" applyBorder="1" applyAlignment="1">
      <alignment vertical="top" wrapText="1"/>
    </xf>
    <xf numFmtId="0" fontId="18" fillId="3" borderId="66" xfId="2" applyFont="1" applyFill="1" applyBorder="1" applyAlignment="1">
      <alignment horizontal="left"/>
    </xf>
    <xf numFmtId="0" fontId="18" fillId="3" borderId="21" xfId="2" applyFont="1" applyFill="1" applyBorder="1" applyAlignment="1">
      <alignment horizontal="left"/>
    </xf>
    <xf numFmtId="0" fontId="17" fillId="3" borderId="0" xfId="2" applyFont="1" applyFill="1"/>
    <xf numFmtId="0" fontId="23" fillId="3" borderId="0" xfId="2" applyFont="1" applyFill="1"/>
    <xf numFmtId="0" fontId="24" fillId="3" borderId="0" xfId="2" applyFont="1" applyFill="1"/>
    <xf numFmtId="0" fontId="25" fillId="3" borderId="0" xfId="2" applyFont="1" applyFill="1"/>
    <xf numFmtId="0" fontId="26" fillId="3" borderId="0" xfId="2" applyFont="1" applyFill="1"/>
    <xf numFmtId="0" fontId="27" fillId="3" borderId="0" xfId="2" applyFont="1" applyFill="1"/>
    <xf numFmtId="0" fontId="28" fillId="3" borderId="0" xfId="2" applyFont="1" applyFill="1"/>
    <xf numFmtId="2" fontId="29" fillId="3" borderId="0" xfId="2" applyNumberFormat="1" applyFont="1" applyFill="1" applyAlignment="1">
      <alignment horizontal="center"/>
    </xf>
    <xf numFmtId="0" fontId="13" fillId="3" borderId="0" xfId="2" applyFill="1"/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  <xf numFmtId="0" fontId="21" fillId="3" borderId="0" xfId="2" applyFont="1" applyFill="1" applyAlignment="1">
      <alignment horizontal="center"/>
    </xf>
    <xf numFmtId="0" fontId="21" fillId="3" borderId="0" xfId="2" applyFont="1" applyFill="1" applyAlignment="1"/>
    <xf numFmtId="0" fontId="30" fillId="3" borderId="0" xfId="2" applyFont="1" applyFill="1"/>
    <xf numFmtId="0" fontId="31" fillId="3" borderId="0" xfId="2" applyFont="1" applyFill="1"/>
    <xf numFmtId="0" fontId="18" fillId="0" borderId="0" xfId="2" applyFont="1"/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vertical="top" wrapText="1"/>
    </xf>
    <xf numFmtId="2" fontId="18" fillId="0" borderId="1" xfId="2" applyNumberFormat="1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wrapText="1"/>
    </xf>
    <xf numFmtId="0" fontId="18" fillId="0" borderId="0" xfId="2" applyFont="1" applyAlignment="1">
      <alignment horizontal="center" vertical="center"/>
    </xf>
    <xf numFmtId="0" fontId="36" fillId="0" borderId="0" xfId="1" applyFont="1" applyAlignment="1" applyProtection="1">
      <alignment horizontal="left" vertical="top" wrapText="1"/>
    </xf>
    <xf numFmtId="0" fontId="18" fillId="0" borderId="0" xfId="2" applyFont="1" applyAlignment="1">
      <alignment horizontal="center" vertical="top" wrapText="1"/>
    </xf>
    <xf numFmtId="0" fontId="32" fillId="0" borderId="0" xfId="2" applyFont="1"/>
    <xf numFmtId="0" fontId="18" fillId="3" borderId="1" xfId="2" applyFont="1" applyFill="1" applyBorder="1" applyAlignment="1">
      <alignment horizontal="center"/>
    </xf>
    <xf numFmtId="2" fontId="18" fillId="3" borderId="1" xfId="2" applyNumberFormat="1" applyFont="1" applyFill="1" applyBorder="1" applyAlignment="1">
      <alignment horizontal="left"/>
    </xf>
    <xf numFmtId="9" fontId="18" fillId="3" borderId="1" xfId="2" applyNumberFormat="1" applyFont="1" applyFill="1" applyBorder="1" applyAlignment="1">
      <alignment horizontal="center"/>
    </xf>
    <xf numFmtId="0" fontId="18" fillId="3" borderId="1" xfId="2" applyFont="1" applyFill="1" applyBorder="1" applyAlignment="1">
      <alignment horizontal="left"/>
    </xf>
    <xf numFmtId="9" fontId="18" fillId="3" borderId="1" xfId="2" applyNumberFormat="1" applyFont="1" applyFill="1" applyBorder="1" applyAlignment="1">
      <alignment horizontal="left"/>
    </xf>
    <xf numFmtId="164" fontId="18" fillId="3" borderId="1" xfId="2" applyNumberFormat="1" applyFont="1" applyFill="1" applyBorder="1" applyAlignment="1">
      <alignment horizontal="center"/>
    </xf>
    <xf numFmtId="2" fontId="18" fillId="3" borderId="1" xfId="2" applyNumberFormat="1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9" fontId="9" fillId="3" borderId="1" xfId="2" applyNumberFormat="1" applyFont="1" applyFill="1" applyBorder="1" applyAlignment="1">
      <alignment horizontal="left"/>
    </xf>
    <xf numFmtId="0" fontId="9" fillId="3" borderId="1" xfId="2" applyFont="1" applyFill="1" applyBorder="1" applyAlignment="1">
      <alignment horizontal="left"/>
    </xf>
    <xf numFmtId="0" fontId="18" fillId="3" borderId="0" xfId="2" applyFont="1" applyFill="1" applyAlignment="1">
      <alignment horizontal="left"/>
    </xf>
    <xf numFmtId="0" fontId="18" fillId="3" borderId="0" xfId="2" applyFont="1" applyFill="1" applyAlignment="1">
      <alignment wrapText="1"/>
    </xf>
    <xf numFmtId="0" fontId="18" fillId="3" borderId="0" xfId="2" applyFont="1" applyFill="1" applyAlignment="1">
      <alignment horizont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/>
    <xf numFmtId="0" fontId="18" fillId="0" borderId="0" xfId="2" applyFont="1" applyFill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/>
    <xf numFmtId="2" fontId="9" fillId="3" borderId="0" xfId="0" applyNumberFormat="1" applyFont="1" applyFill="1" applyBorder="1"/>
    <xf numFmtId="4" fontId="8" fillId="3" borderId="0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/>
    <xf numFmtId="4" fontId="9" fillId="0" borderId="0" xfId="0" applyNumberFormat="1" applyFont="1" applyFill="1" applyBorder="1"/>
    <xf numFmtId="0" fontId="35" fillId="3" borderId="0" xfId="0" applyFont="1" applyFill="1"/>
    <xf numFmtId="0" fontId="40" fillId="3" borderId="0" xfId="0" applyFont="1" applyFill="1"/>
    <xf numFmtId="4" fontId="8" fillId="3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4" fontId="8" fillId="3" borderId="0" xfId="0" applyNumberFormat="1" applyFont="1" applyFill="1" applyBorder="1"/>
    <xf numFmtId="4" fontId="8" fillId="3" borderId="0" xfId="0" applyNumberFormat="1" applyFont="1" applyFill="1" applyBorder="1" applyAlignment="1">
      <alignment vertical="center"/>
    </xf>
    <xf numFmtId="0" fontId="18" fillId="3" borderId="0" xfId="2" applyFont="1" applyFill="1" applyAlignment="1"/>
    <xf numFmtId="0" fontId="18" fillId="0" borderId="0" xfId="2" applyFont="1" applyAlignment="1">
      <alignment horizontal="left"/>
    </xf>
    <xf numFmtId="0" fontId="18" fillId="0" borderId="0" xfId="2" applyFont="1" applyAlignment="1"/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2" fontId="18" fillId="0" borderId="0" xfId="2" applyNumberFormat="1" applyFont="1" applyAlignment="1">
      <alignment horizontal="center" vertical="center"/>
    </xf>
    <xf numFmtId="0" fontId="32" fillId="0" borderId="1" xfId="2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 wrapText="1"/>
    </xf>
    <xf numFmtId="2" fontId="32" fillId="0" borderId="1" xfId="2" applyNumberFormat="1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wrapText="1"/>
    </xf>
    <xf numFmtId="0" fontId="32" fillId="0" borderId="1" xfId="2" applyFont="1" applyFill="1" applyBorder="1" applyAlignment="1">
      <alignment horizontal="center"/>
    </xf>
    <xf numFmtId="2" fontId="32" fillId="0" borderId="1" xfId="2" applyNumberFormat="1" applyFont="1" applyFill="1" applyBorder="1" applyAlignment="1">
      <alignment horizontal="center"/>
    </xf>
    <xf numFmtId="2" fontId="37" fillId="3" borderId="1" xfId="2" applyNumberFormat="1" applyFont="1" applyFill="1" applyBorder="1" applyAlignment="1">
      <alignment horizontal="left"/>
    </xf>
    <xf numFmtId="0" fontId="18" fillId="0" borderId="1" xfId="2" applyFont="1" applyFill="1" applyBorder="1" applyAlignment="1">
      <alignment horizontal="left"/>
    </xf>
    <xf numFmtId="0" fontId="18" fillId="0" borderId="1" xfId="2" applyFont="1" applyFill="1" applyBorder="1" applyAlignment="1">
      <alignment wrapText="1"/>
    </xf>
    <xf numFmtId="0" fontId="18" fillId="0" borderId="1" xfId="2" applyFont="1" applyFill="1" applyBorder="1" applyAlignment="1">
      <alignment horizontal="center"/>
    </xf>
    <xf numFmtId="2" fontId="18" fillId="0" borderId="1" xfId="2" applyNumberFormat="1" applyFont="1" applyFill="1" applyBorder="1" applyAlignment="1">
      <alignment horizontal="center" vertical="center"/>
    </xf>
    <xf numFmtId="2" fontId="18" fillId="0" borderId="1" xfId="2" applyNumberFormat="1" applyFont="1" applyFill="1" applyBorder="1" applyAlignment="1">
      <alignment horizontal="left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wrapText="1"/>
    </xf>
    <xf numFmtId="164" fontId="18" fillId="0" borderId="1" xfId="2" applyNumberFormat="1" applyFont="1" applyFill="1" applyBorder="1" applyAlignment="1">
      <alignment horizontal="center"/>
    </xf>
    <xf numFmtId="0" fontId="37" fillId="0" borderId="1" xfId="2" applyFont="1" applyFill="1" applyBorder="1" applyAlignment="1">
      <alignment horizontal="left"/>
    </xf>
    <xf numFmtId="0" fontId="37" fillId="0" borderId="1" xfId="2" applyFont="1" applyFill="1" applyBorder="1" applyAlignment="1">
      <alignment wrapText="1"/>
    </xf>
    <xf numFmtId="164" fontId="37" fillId="0" borderId="1" xfId="2" applyNumberFormat="1" applyFont="1" applyFill="1" applyBorder="1" applyAlignment="1">
      <alignment horizontal="center"/>
    </xf>
    <xf numFmtId="0" fontId="39" fillId="0" borderId="1" xfId="2" applyFont="1" applyFill="1" applyBorder="1"/>
    <xf numFmtId="164" fontId="37" fillId="0" borderId="1" xfId="2" applyNumberFormat="1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center"/>
    </xf>
    <xf numFmtId="2" fontId="37" fillId="0" borderId="1" xfId="2" applyNumberFormat="1" applyFont="1" applyFill="1" applyBorder="1" applyAlignment="1">
      <alignment horizontal="center"/>
    </xf>
    <xf numFmtId="2" fontId="37" fillId="0" borderId="1" xfId="2" applyNumberFormat="1" applyFont="1" applyFill="1" applyBorder="1" applyAlignment="1">
      <alignment horizontal="center" vertical="center"/>
    </xf>
    <xf numFmtId="2" fontId="37" fillId="3" borderId="1" xfId="2" applyNumberFormat="1" applyFont="1" applyFill="1" applyBorder="1" applyAlignment="1">
      <alignment horizontal="center"/>
    </xf>
    <xf numFmtId="1" fontId="18" fillId="0" borderId="1" xfId="2" applyNumberFormat="1" applyFont="1" applyFill="1" applyBorder="1" applyAlignment="1">
      <alignment horizontal="center"/>
    </xf>
    <xf numFmtId="2" fontId="18" fillId="0" borderId="1" xfId="2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37" fillId="0" borderId="1" xfId="2" applyNumberFormat="1" applyFont="1" applyFill="1" applyBorder="1" applyAlignment="1">
      <alignment horizontal="left"/>
    </xf>
    <xf numFmtId="0" fontId="34" fillId="0" borderId="0" xfId="2" applyFont="1" applyFill="1" applyAlignment="1">
      <alignment horizontal="center" vertical="top" wrapText="1"/>
    </xf>
    <xf numFmtId="0" fontId="32" fillId="0" borderId="0" xfId="2" applyFont="1" applyFill="1" applyAlignment="1">
      <alignment horizontal="center"/>
    </xf>
    <xf numFmtId="0" fontId="0" fillId="0" borderId="0" xfId="0" applyFill="1"/>
    <xf numFmtId="0" fontId="22" fillId="0" borderId="1" xfId="2" applyFont="1" applyFill="1" applyBorder="1" applyAlignment="1">
      <alignment horizontal="center" vertical="top" wrapText="1"/>
    </xf>
    <xf numFmtId="2" fontId="22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/>
    </xf>
    <xf numFmtId="4" fontId="18" fillId="0" borderId="0" xfId="2" applyNumberFormat="1" applyFont="1" applyFill="1" applyAlignment="1">
      <alignment horizontal="center"/>
    </xf>
    <xf numFmtId="0" fontId="18" fillId="0" borderId="0" xfId="2" applyFont="1" applyFill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top" wrapText="1"/>
    </xf>
    <xf numFmtId="0" fontId="18" fillId="0" borderId="1" xfId="2" applyFont="1" applyBorder="1" applyAlignment="1">
      <alignment horizontal="left" vertical="top" wrapText="1"/>
    </xf>
    <xf numFmtId="0" fontId="34" fillId="0" borderId="0" xfId="2" applyFont="1" applyAlignment="1">
      <alignment horizontal="center" vertical="top" wrapText="1"/>
    </xf>
    <xf numFmtId="0" fontId="18" fillId="0" borderId="0" xfId="2" applyFont="1" applyAlignment="1">
      <alignment horizontal="left" vertical="top" wrapText="1"/>
    </xf>
    <xf numFmtId="0" fontId="33" fillId="0" borderId="0" xfId="2" applyFont="1" applyAlignment="1">
      <alignment horizontal="center"/>
    </xf>
    <xf numFmtId="0" fontId="37" fillId="0" borderId="1" xfId="2" applyFont="1" applyFill="1" applyBorder="1" applyAlignment="1">
      <alignment horizontal="center" vertical="center"/>
    </xf>
    <xf numFmtId="0" fontId="39" fillId="3" borderId="0" xfId="2" applyFont="1" applyFill="1"/>
    <xf numFmtId="0" fontId="38" fillId="3" borderId="0" xfId="2" applyFont="1" applyFill="1"/>
    <xf numFmtId="0" fontId="9" fillId="0" borderId="1" xfId="2" applyFont="1" applyFill="1" applyBorder="1" applyAlignment="1">
      <alignment horizontal="center" vertical="center"/>
    </xf>
    <xf numFmtId="0" fontId="42" fillId="3" borderId="0" xfId="2" applyFont="1" applyFill="1"/>
    <xf numFmtId="0" fontId="43" fillId="3" borderId="0" xfId="2" applyFont="1" applyFill="1"/>
    <xf numFmtId="0" fontId="22" fillId="5" borderId="0" xfId="2" applyFont="1" applyFill="1" applyAlignment="1">
      <alignment horizontal="center" vertical="center"/>
    </xf>
    <xf numFmtId="0" fontId="41" fillId="0" borderId="0" xfId="2" applyFont="1" applyFill="1" applyAlignment="1">
      <alignment horizontal="center" vertical="center"/>
    </xf>
    <xf numFmtId="0" fontId="41" fillId="0" borderId="0" xfId="2" applyFont="1" applyFill="1"/>
    <xf numFmtId="0" fontId="39" fillId="6" borderId="0" xfId="2" applyFont="1" applyFill="1"/>
    <xf numFmtId="0" fontId="38" fillId="0" borderId="0" xfId="2" applyFont="1" applyFill="1"/>
    <xf numFmtId="0" fontId="38" fillId="0" borderId="0" xfId="2" applyFont="1" applyFill="1" applyAlignment="1">
      <alignment horizontal="center" vertical="center"/>
    </xf>
    <xf numFmtId="0" fontId="39" fillId="0" borderId="0" xfId="2" applyFont="1" applyFill="1"/>
    <xf numFmtId="0" fontId="39" fillId="4" borderId="0" xfId="2" applyFont="1" applyFill="1"/>
    <xf numFmtId="0" fontId="18" fillId="0" borderId="0" xfId="2" applyFont="1" applyFill="1"/>
    <xf numFmtId="0" fontId="15" fillId="0" borderId="0" xfId="0" applyFont="1"/>
    <xf numFmtId="0" fontId="6" fillId="2" borderId="38" xfId="4" applyFont="1" applyFill="1" applyBorder="1" applyAlignment="1">
      <alignment horizontal="center" vertical="center" wrapText="1"/>
    </xf>
    <xf numFmtId="0" fontId="6" fillId="2" borderId="45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0" fontId="7" fillId="0" borderId="49" xfId="4" applyFont="1" applyBorder="1" applyAlignment="1">
      <alignment horizontal="left" vertical="center" wrapText="1"/>
    </xf>
    <xf numFmtId="2" fontId="6" fillId="0" borderId="53" xfId="4" applyNumberFormat="1" applyFont="1" applyFill="1" applyBorder="1" applyAlignment="1">
      <alignment horizontal="center" vertical="center" wrapText="1"/>
    </xf>
    <xf numFmtId="1" fontId="7" fillId="0" borderId="49" xfId="4" applyNumberFormat="1" applyFont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center" vertical="center" wrapText="1"/>
    </xf>
    <xf numFmtId="10" fontId="6" fillId="0" borderId="0" xfId="4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6" fillId="0" borderId="49" xfId="4" applyFont="1" applyBorder="1" applyAlignment="1">
      <alignment horizontal="left" vertical="center" wrapText="1"/>
    </xf>
    <xf numFmtId="2" fontId="6" fillId="0" borderId="19" xfId="4" applyNumberFormat="1" applyFont="1" applyFill="1" applyBorder="1" applyAlignment="1">
      <alignment horizontal="center" vertical="center" wrapText="1"/>
    </xf>
    <xf numFmtId="164" fontId="8" fillId="0" borderId="0" xfId="4" applyNumberFormat="1" applyFont="1" applyBorder="1" applyAlignment="1">
      <alignment horizontal="center" vertical="center" wrapText="1"/>
    </xf>
    <xf numFmtId="1" fontId="6" fillId="0" borderId="0" xfId="4" applyNumberFormat="1" applyFont="1" applyBorder="1" applyAlignment="1">
      <alignment horizontal="center" vertical="center" wrapText="1"/>
    </xf>
    <xf numFmtId="2" fontId="15" fillId="0" borderId="0" xfId="0" applyNumberFormat="1" applyFont="1"/>
    <xf numFmtId="2" fontId="6" fillId="0" borderId="13" xfId="4" applyNumberFormat="1" applyFont="1" applyFill="1" applyBorder="1" applyAlignment="1">
      <alignment horizontal="center" vertical="center" wrapText="1"/>
    </xf>
    <xf numFmtId="2" fontId="6" fillId="0" borderId="0" xfId="4" applyNumberFormat="1" applyFont="1" applyFill="1" applyBorder="1" applyAlignment="1">
      <alignment horizontal="center" vertical="center" wrapText="1"/>
    </xf>
    <xf numFmtId="49" fontId="6" fillId="0" borderId="50" xfId="5" applyNumberFormat="1" applyFont="1" applyBorder="1" applyAlignment="1">
      <alignment horizontal="center" vertical="center"/>
    </xf>
    <xf numFmtId="0" fontId="6" fillId="0" borderId="50" xfId="4" applyFont="1" applyBorder="1" applyAlignment="1">
      <alignment horizontal="left" vertical="center" wrapText="1"/>
    </xf>
    <xf numFmtId="2" fontId="6" fillId="0" borderId="51" xfId="4" applyNumberFormat="1" applyFont="1" applyFill="1" applyBorder="1" applyAlignment="1">
      <alignment horizontal="center" vertical="center" wrapText="1"/>
    </xf>
    <xf numFmtId="1" fontId="6" fillId="0" borderId="50" xfId="4" applyNumberFormat="1" applyFont="1" applyBorder="1" applyAlignment="1">
      <alignment horizontal="center" vertical="center" wrapText="1"/>
    </xf>
    <xf numFmtId="49" fontId="6" fillId="0" borderId="0" xfId="5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2" fontId="6" fillId="0" borderId="0" xfId="4" applyNumberFormat="1" applyFont="1" applyBorder="1" applyAlignment="1">
      <alignment horizontal="center" vertical="center" wrapText="1"/>
    </xf>
    <xf numFmtId="0" fontId="6" fillId="2" borderId="22" xfId="4" applyFont="1" applyFill="1" applyBorder="1" applyAlignment="1">
      <alignment horizontal="center" vertical="center" wrapText="1"/>
    </xf>
    <xf numFmtId="0" fontId="6" fillId="2" borderId="23" xfId="4" applyFont="1" applyFill="1" applyBorder="1" applyAlignment="1">
      <alignment horizontal="center" vertical="center" wrapText="1"/>
    </xf>
    <xf numFmtId="0" fontId="6" fillId="2" borderId="24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2" fontId="7" fillId="0" borderId="1" xfId="4" applyNumberFormat="1" applyFont="1" applyFill="1" applyBorder="1" applyAlignment="1">
      <alignment horizontal="center" vertical="center" wrapText="1"/>
    </xf>
    <xf numFmtId="165" fontId="7" fillId="0" borderId="1" xfId="4" applyNumberFormat="1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 wrapText="1"/>
    </xf>
    <xf numFmtId="2" fontId="6" fillId="0" borderId="1" xfId="4" applyNumberFormat="1" applyFont="1" applyBorder="1" applyAlignment="1">
      <alignment horizontal="center" vertical="center" wrapText="1"/>
    </xf>
    <xf numFmtId="2" fontId="7" fillId="0" borderId="1" xfId="4" applyNumberFormat="1" applyFont="1" applyBorder="1" applyAlignment="1">
      <alignment horizontal="center" vertical="center" wrapText="1"/>
    </xf>
    <xf numFmtId="49" fontId="7" fillId="0" borderId="4" xfId="5" applyNumberFormat="1" applyFont="1" applyBorder="1" applyAlignment="1">
      <alignment horizontal="center" vertical="center"/>
    </xf>
    <xf numFmtId="49" fontId="6" fillId="0" borderId="4" xfId="5" applyNumberFormat="1" applyFont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 vertical="center" wrapText="1"/>
    </xf>
    <xf numFmtId="2" fontId="7" fillId="3" borderId="1" xfId="4" applyNumberFormat="1" applyFont="1" applyFill="1" applyBorder="1" applyAlignment="1">
      <alignment horizontal="center" vertical="center" wrapText="1"/>
    </xf>
    <xf numFmtId="2" fontId="10" fillId="3" borderId="1" xfId="4" applyNumberFormat="1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vertical="center" wrapText="1"/>
    </xf>
    <xf numFmtId="0" fontId="15" fillId="0" borderId="2" xfId="0" applyFont="1" applyBorder="1"/>
    <xf numFmtId="0" fontId="7" fillId="0" borderId="29" xfId="4" applyFont="1" applyFill="1" applyBorder="1" applyAlignment="1">
      <alignment horizontal="center" vertical="center" wrapText="1"/>
    </xf>
    <xf numFmtId="0" fontId="7" fillId="0" borderId="30" xfId="4" applyFont="1" applyBorder="1" applyAlignment="1">
      <alignment horizontal="left" vertical="center" wrapText="1"/>
    </xf>
    <xf numFmtId="2" fontId="6" fillId="0" borderId="30" xfId="4" applyNumberFormat="1" applyFont="1" applyBorder="1" applyAlignment="1">
      <alignment horizontal="center" vertical="center" wrapText="1"/>
    </xf>
    <xf numFmtId="165" fontId="7" fillId="0" borderId="30" xfId="4" applyNumberFormat="1" applyFont="1" applyFill="1" applyBorder="1" applyAlignment="1">
      <alignment horizontal="center" vertical="center" wrapText="1"/>
    </xf>
    <xf numFmtId="2" fontId="7" fillId="0" borderId="30" xfId="4" applyNumberFormat="1" applyFont="1" applyBorder="1" applyAlignment="1">
      <alignment horizontal="center" vertical="center" wrapText="1"/>
    </xf>
    <xf numFmtId="10" fontId="7" fillId="0" borderId="31" xfId="4" applyNumberFormat="1" applyFont="1" applyBorder="1" applyAlignment="1">
      <alignment horizontal="center" vertical="center" wrapText="1"/>
    </xf>
    <xf numFmtId="0" fontId="7" fillId="0" borderId="46" xfId="4" applyFont="1" applyFill="1" applyBorder="1" applyAlignment="1">
      <alignment horizontal="center" vertical="center" wrapText="1"/>
    </xf>
    <xf numFmtId="0" fontId="7" fillId="0" borderId="46" xfId="4" applyFont="1" applyBorder="1" applyAlignment="1">
      <alignment horizontal="left" vertical="center" wrapText="1"/>
    </xf>
    <xf numFmtId="2" fontId="6" fillId="0" borderId="83" xfId="4" applyNumberFormat="1" applyFont="1" applyBorder="1" applyAlignment="1">
      <alignment horizontal="center" vertical="center" wrapText="1"/>
    </xf>
    <xf numFmtId="2" fontId="7" fillId="0" borderId="46" xfId="4" applyNumberFormat="1" applyFont="1" applyFill="1" applyBorder="1" applyAlignment="1">
      <alignment horizontal="center" vertical="center" wrapText="1"/>
    </xf>
    <xf numFmtId="2" fontId="7" fillId="0" borderId="46" xfId="4" applyNumberFormat="1" applyFont="1" applyBorder="1" applyAlignment="1">
      <alignment horizontal="center" vertical="center" wrapText="1"/>
    </xf>
    <xf numFmtId="0" fontId="7" fillId="0" borderId="56" xfId="4" applyFont="1" applyFill="1" applyBorder="1" applyAlignment="1">
      <alignment horizontal="center" vertical="center" wrapText="1"/>
    </xf>
    <xf numFmtId="0" fontId="7" fillId="0" borderId="48" xfId="4" applyFont="1" applyBorder="1" applyAlignment="1">
      <alignment horizontal="left" vertical="center" wrapText="1"/>
    </xf>
    <xf numFmtId="2" fontId="6" fillId="0" borderId="54" xfId="4" applyNumberFormat="1" applyFont="1" applyBorder="1" applyAlignment="1">
      <alignment horizontal="center" vertical="center" wrapText="1"/>
    </xf>
    <xf numFmtId="2" fontId="7" fillId="0" borderId="48" xfId="4" applyNumberFormat="1" applyFont="1" applyFill="1" applyBorder="1" applyAlignment="1">
      <alignment horizontal="center" vertical="center" wrapText="1"/>
    </xf>
    <xf numFmtId="2" fontId="7" fillId="0" borderId="48" xfId="4" applyNumberFormat="1" applyFont="1" applyBorder="1" applyAlignment="1">
      <alignment horizontal="center" vertical="center" wrapText="1"/>
    </xf>
    <xf numFmtId="0" fontId="7" fillId="0" borderId="44" xfId="4" applyFont="1" applyFill="1" applyBorder="1" applyAlignment="1">
      <alignment horizontal="center" vertical="center" wrapText="1"/>
    </xf>
    <xf numFmtId="0" fontId="7" fillId="0" borderId="50" xfId="4" applyFont="1" applyBorder="1" applyAlignment="1">
      <alignment horizontal="left" vertical="center" wrapText="1"/>
    </xf>
    <xf numFmtId="2" fontId="6" fillId="0" borderId="55" xfId="4" applyNumberFormat="1" applyFont="1" applyBorder="1" applyAlignment="1">
      <alignment horizontal="center" vertical="center" wrapText="1"/>
    </xf>
    <xf numFmtId="2" fontId="7" fillId="0" borderId="44" xfId="4" applyNumberFormat="1" applyFont="1" applyFill="1" applyBorder="1" applyAlignment="1">
      <alignment horizontal="center" vertical="center" wrapText="1"/>
    </xf>
    <xf numFmtId="2" fontId="7" fillId="0" borderId="44" xfId="4" applyNumberFormat="1" applyFont="1" applyBorder="1" applyAlignment="1">
      <alignment horizontal="center" vertical="center" wrapText="1"/>
    </xf>
    <xf numFmtId="0" fontId="7" fillId="0" borderId="44" xfId="4" applyFont="1" applyBorder="1" applyAlignment="1">
      <alignment horizontal="left" vertical="center" wrapText="1"/>
    </xf>
    <xf numFmtId="2" fontId="6" fillId="0" borderId="57" xfId="4" applyNumberFormat="1" applyFont="1" applyBorder="1" applyAlignment="1">
      <alignment horizontal="center" vertical="center" wrapText="1"/>
    </xf>
    <xf numFmtId="2" fontId="7" fillId="0" borderId="2" xfId="4" applyNumberFormat="1" applyFont="1" applyBorder="1" applyAlignment="1">
      <alignment horizontal="center" vertical="center" wrapText="1"/>
    </xf>
    <xf numFmtId="0" fontId="7" fillId="0" borderId="47" xfId="4" applyFont="1" applyFill="1" applyBorder="1" applyAlignment="1">
      <alignment horizontal="center" vertical="center" wrapText="1"/>
    </xf>
    <xf numFmtId="0" fontId="7" fillId="0" borderId="47" xfId="4" applyFont="1" applyFill="1" applyBorder="1" applyAlignment="1">
      <alignment horizontal="left" vertical="center" wrapText="1"/>
    </xf>
    <xf numFmtId="0" fontId="7" fillId="2" borderId="59" xfId="4" applyFont="1" applyFill="1" applyBorder="1" applyAlignment="1">
      <alignment horizontal="center" vertical="center" wrapText="1"/>
    </xf>
    <xf numFmtId="49" fontId="7" fillId="0" borderId="49" xfId="5" applyNumberFormat="1" applyFont="1" applyBorder="1" applyAlignment="1">
      <alignment horizontal="center" vertical="center"/>
    </xf>
    <xf numFmtId="49" fontId="6" fillId="0" borderId="49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 wrapText="1"/>
    </xf>
    <xf numFmtId="2" fontId="6" fillId="0" borderId="0" xfId="4" applyNumberFormat="1" applyFont="1" applyFill="1" applyBorder="1" applyAlignment="1">
      <alignment vertical="center" wrapText="1"/>
    </xf>
    <xf numFmtId="2" fontId="6" fillId="0" borderId="49" xfId="4" applyNumberFormat="1" applyFont="1" applyBorder="1" applyAlignment="1">
      <alignment horizontal="center" vertical="center" wrapText="1"/>
    </xf>
    <xf numFmtId="2" fontId="18" fillId="0" borderId="0" xfId="2" applyNumberFormat="1" applyFont="1" applyAlignment="1">
      <alignment horizontal="center"/>
    </xf>
    <xf numFmtId="0" fontId="34" fillId="0" borderId="0" xfId="2" applyFont="1" applyFill="1" applyAlignment="1">
      <alignment horizontal="left" vertical="top" wrapText="1"/>
    </xf>
    <xf numFmtId="0" fontId="34" fillId="0" borderId="0" xfId="2" applyFont="1" applyFill="1" applyAlignment="1">
      <alignment vertical="top" wrapText="1"/>
    </xf>
    <xf numFmtId="0" fontId="34" fillId="0" borderId="0" xfId="2" applyFont="1" applyFill="1" applyAlignment="1">
      <alignment horizontal="center" vertical="center" wrapText="1"/>
    </xf>
    <xf numFmtId="2" fontId="34" fillId="0" borderId="0" xfId="2" applyNumberFormat="1" applyFont="1" applyFill="1" applyAlignment="1">
      <alignment horizontal="center" vertical="center" wrapText="1"/>
    </xf>
    <xf numFmtId="2" fontId="18" fillId="0" borderId="0" xfId="2" applyNumberFormat="1" applyFont="1" applyFill="1" applyAlignment="1">
      <alignment horizontal="center" vertical="center"/>
    </xf>
    <xf numFmtId="0" fontId="17" fillId="0" borderId="0" xfId="2" applyFont="1" applyFill="1"/>
    <xf numFmtId="0" fontId="18" fillId="0" borderId="0" xfId="2" applyFont="1" applyFill="1" applyAlignment="1">
      <alignment wrapText="1"/>
    </xf>
    <xf numFmtId="0" fontId="36" fillId="0" borderId="0" xfId="1" applyFont="1" applyFill="1" applyAlignment="1" applyProtection="1">
      <alignment horizontal="left" vertical="top" wrapText="1"/>
    </xf>
    <xf numFmtId="0" fontId="18" fillId="0" borderId="0" xfId="2" applyFont="1" applyFill="1" applyAlignment="1">
      <alignment horizontal="left" vertical="top" wrapText="1"/>
    </xf>
    <xf numFmtId="0" fontId="18" fillId="0" borderId="0" xfId="2" applyFont="1" applyFill="1" applyAlignment="1">
      <alignment horizontal="center" vertical="top" wrapText="1"/>
    </xf>
    <xf numFmtId="0" fontId="32" fillId="0" borderId="0" xfId="2" applyFont="1" applyFill="1" applyAlignment="1">
      <alignment horizontal="center" vertical="center"/>
    </xf>
    <xf numFmtId="0" fontId="32" fillId="0" borderId="0" xfId="2" applyFont="1" applyFill="1"/>
    <xf numFmtId="2" fontId="32" fillId="0" borderId="0" xfId="2" applyNumberFormat="1" applyFont="1" applyFill="1" applyAlignment="1">
      <alignment horizontal="center" vertical="center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2" applyFont="1" applyFill="1" applyBorder="1" applyAlignment="1">
      <alignment horizontal="center" vertical="top" wrapText="1"/>
    </xf>
    <xf numFmtId="0" fontId="22" fillId="0" borderId="1" xfId="2" applyFont="1" applyFill="1" applyBorder="1" applyAlignment="1">
      <alignment horizontal="left" vertical="top" wrapText="1"/>
    </xf>
    <xf numFmtId="0" fontId="22" fillId="0" borderId="1" xfId="2" applyFont="1" applyFill="1" applyBorder="1" applyAlignment="1">
      <alignment vertical="top" wrapText="1"/>
    </xf>
    <xf numFmtId="2" fontId="22" fillId="0" borderId="1" xfId="2" applyNumberFormat="1" applyFont="1" applyFill="1" applyBorder="1" applyAlignment="1">
      <alignment horizontal="center" vertical="center" wrapText="1"/>
    </xf>
    <xf numFmtId="0" fontId="43" fillId="0" borderId="0" xfId="2" applyFont="1" applyFill="1"/>
    <xf numFmtId="9" fontId="18" fillId="0" borderId="1" xfId="2" applyNumberFormat="1" applyFont="1" applyFill="1" applyBorder="1" applyAlignment="1">
      <alignment horizontal="center"/>
    </xf>
    <xf numFmtId="0" fontId="18" fillId="0" borderId="1" xfId="2" applyFont="1" applyFill="1" applyBorder="1"/>
    <xf numFmtId="0" fontId="18" fillId="0" borderId="1" xfId="0" applyFont="1" applyFill="1" applyBorder="1" applyAlignment="1">
      <alignment wrapText="1"/>
    </xf>
    <xf numFmtId="0" fontId="22" fillId="0" borderId="1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9" fontId="18" fillId="0" borderId="1" xfId="2" applyNumberFormat="1" applyFont="1" applyFill="1" applyBorder="1" applyAlignment="1">
      <alignment horizontal="left"/>
    </xf>
    <xf numFmtId="0" fontId="18" fillId="0" borderId="1" xfId="2" applyFont="1" applyFill="1" applyBorder="1" applyAlignment="1">
      <alignment horizontal="left" vertical="center" wrapText="1"/>
    </xf>
    <xf numFmtId="9" fontId="18" fillId="0" borderId="1" xfId="2" applyNumberFormat="1" applyFont="1" applyFill="1" applyBorder="1" applyAlignment="1">
      <alignment horizontal="center" vertical="center"/>
    </xf>
    <xf numFmtId="164" fontId="18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center"/>
    </xf>
    <xf numFmtId="9" fontId="9" fillId="0" borderId="1" xfId="2" applyNumberFormat="1" applyFont="1" applyFill="1" applyBorder="1" applyAlignment="1">
      <alignment horizontal="left"/>
    </xf>
    <xf numFmtId="2" fontId="9" fillId="0" borderId="1" xfId="2" applyNumberFormat="1" applyFont="1" applyFill="1" applyBorder="1" applyAlignment="1">
      <alignment horizontal="center" vertical="center"/>
    </xf>
    <xf numFmtId="0" fontId="42" fillId="0" borderId="0" xfId="2" applyFont="1" applyFill="1"/>
    <xf numFmtId="0" fontId="22" fillId="0" borderId="1" xfId="2" applyFont="1" applyFill="1" applyBorder="1" applyAlignment="1">
      <alignment wrapText="1"/>
    </xf>
    <xf numFmtId="0" fontId="18" fillId="0" borderId="0" xfId="2" applyFont="1" applyFill="1" applyAlignment="1">
      <alignment horizontal="left"/>
    </xf>
    <xf numFmtId="0" fontId="16" fillId="0" borderId="0" xfId="2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40" fillId="0" borderId="0" xfId="0" applyFont="1" applyFill="1"/>
    <xf numFmtId="4" fontId="8" fillId="0" borderId="0" xfId="0" applyNumberFormat="1" applyFont="1" applyFill="1" applyBorder="1"/>
    <xf numFmtId="4" fontId="18" fillId="0" borderId="0" xfId="2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0" fontId="16" fillId="0" borderId="0" xfId="2" applyFont="1" applyFill="1" applyAlignment="1"/>
    <xf numFmtId="0" fontId="18" fillId="0" borderId="0" xfId="2" applyFont="1" applyFill="1" applyAlignment="1"/>
    <xf numFmtId="0" fontId="18" fillId="0" borderId="0" xfId="2" applyFont="1" applyFill="1" applyAlignment="1">
      <alignment horizontal="left" vertical="center"/>
    </xf>
    <xf numFmtId="0" fontId="18" fillId="0" borderId="0" xfId="2" applyFont="1" applyFill="1" applyAlignment="1">
      <alignment vertical="center" wrapText="1"/>
    </xf>
    <xf numFmtId="0" fontId="18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32" fillId="0" borderId="0" xfId="2" applyFont="1" applyAlignment="1">
      <alignment horizontal="center"/>
    </xf>
    <xf numFmtId="2" fontId="32" fillId="0" borderId="0" xfId="2" applyNumberFormat="1" applyFont="1" applyAlignment="1">
      <alignment horizontal="center"/>
    </xf>
    <xf numFmtId="0" fontId="22" fillId="3" borderId="8" xfId="2" applyFont="1" applyFill="1" applyBorder="1" applyAlignment="1">
      <alignment horizontal="left" vertical="top" wrapText="1"/>
    </xf>
    <xf numFmtId="0" fontId="22" fillId="3" borderId="11" xfId="2" applyFont="1" applyFill="1" applyBorder="1" applyAlignment="1">
      <alignment horizontal="center" vertical="top" wrapText="1"/>
    </xf>
    <xf numFmtId="0" fontId="22" fillId="3" borderId="9" xfId="2" applyFont="1" applyFill="1" applyBorder="1" applyAlignment="1">
      <alignment horizontal="center" vertical="top" wrapText="1"/>
    </xf>
    <xf numFmtId="0" fontId="22" fillId="3" borderId="32" xfId="2" applyFont="1" applyFill="1" applyBorder="1" applyAlignment="1">
      <alignment horizontal="center" vertical="top" wrapText="1"/>
    </xf>
    <xf numFmtId="2" fontId="22" fillId="3" borderId="12" xfId="2" applyNumberFormat="1" applyFont="1" applyFill="1" applyBorder="1" applyAlignment="1">
      <alignment horizontal="center" vertical="top" wrapText="1"/>
    </xf>
    <xf numFmtId="0" fontId="18" fillId="3" borderId="64" xfId="2" applyFont="1" applyFill="1" applyBorder="1" applyAlignment="1">
      <alignment horizontal="left"/>
    </xf>
    <xf numFmtId="0" fontId="18" fillId="3" borderId="22" xfId="2" applyFont="1" applyFill="1" applyBorder="1" applyAlignment="1">
      <alignment wrapText="1"/>
    </xf>
    <xf numFmtId="0" fontId="18" fillId="3" borderId="23" xfId="2" applyFont="1" applyFill="1" applyBorder="1" applyAlignment="1">
      <alignment horizontal="center"/>
    </xf>
    <xf numFmtId="2" fontId="18" fillId="3" borderId="23" xfId="2" applyNumberFormat="1" applyFont="1" applyFill="1" applyBorder="1" applyAlignment="1">
      <alignment horizontal="left"/>
    </xf>
    <xf numFmtId="2" fontId="18" fillId="3" borderId="24" xfId="2" applyNumberFormat="1" applyFont="1" applyFill="1" applyBorder="1" applyAlignment="1">
      <alignment horizontal="left"/>
    </xf>
    <xf numFmtId="0" fontId="18" fillId="3" borderId="63" xfId="2" applyFont="1" applyFill="1" applyBorder="1" applyAlignment="1">
      <alignment horizontal="center"/>
    </xf>
    <xf numFmtId="9" fontId="18" fillId="3" borderId="23" xfId="2" applyNumberFormat="1" applyFont="1" applyFill="1" applyBorder="1" applyAlignment="1">
      <alignment horizontal="center"/>
    </xf>
    <xf numFmtId="0" fontId="18" fillId="3" borderId="23" xfId="2" applyFont="1" applyFill="1" applyBorder="1"/>
    <xf numFmtId="2" fontId="18" fillId="3" borderId="24" xfId="2" applyNumberFormat="1" applyFont="1" applyFill="1" applyBorder="1" applyAlignment="1">
      <alignment horizontal="center"/>
    </xf>
    <xf numFmtId="2" fontId="18" fillId="3" borderId="65" xfId="2" applyNumberFormat="1" applyFont="1" applyFill="1" applyBorder="1" applyAlignment="1">
      <alignment horizontal="center"/>
    </xf>
    <xf numFmtId="2" fontId="18" fillId="3" borderId="22" xfId="2" applyNumberFormat="1" applyFont="1" applyFill="1" applyBorder="1" applyAlignment="1">
      <alignment horizontal="center" vertical="center"/>
    </xf>
    <xf numFmtId="2" fontId="18" fillId="3" borderId="24" xfId="2" applyNumberFormat="1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wrapText="1"/>
    </xf>
    <xf numFmtId="2" fontId="18" fillId="3" borderId="2" xfId="2" applyNumberFormat="1" applyFont="1" applyFill="1" applyBorder="1" applyAlignment="1">
      <alignment horizontal="left"/>
    </xf>
    <xf numFmtId="2" fontId="18" fillId="3" borderId="7" xfId="2" applyNumberFormat="1" applyFont="1" applyFill="1" applyBorder="1" applyAlignment="1">
      <alignment horizontal="left"/>
    </xf>
    <xf numFmtId="2" fontId="18" fillId="3" borderId="2" xfId="2" applyNumberFormat="1" applyFont="1" applyFill="1" applyBorder="1" applyAlignment="1">
      <alignment horizontal="center"/>
    </xf>
    <xf numFmtId="2" fontId="18" fillId="3" borderId="34" xfId="2" applyNumberFormat="1" applyFont="1" applyFill="1" applyBorder="1" applyAlignment="1">
      <alignment horizontal="center"/>
    </xf>
    <xf numFmtId="2" fontId="18" fillId="3" borderId="4" xfId="2" applyNumberFormat="1" applyFont="1" applyFill="1" applyBorder="1" applyAlignment="1">
      <alignment horizontal="center" vertical="center"/>
    </xf>
    <xf numFmtId="2" fontId="18" fillId="3" borderId="2" xfId="2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3" borderId="37" xfId="2" applyFont="1" applyFill="1" applyBorder="1" applyAlignment="1">
      <alignment horizontal="left"/>
    </xf>
    <xf numFmtId="0" fontId="18" fillId="3" borderId="29" xfId="2" applyFont="1" applyFill="1" applyBorder="1" applyAlignment="1">
      <alignment wrapText="1"/>
    </xf>
    <xf numFmtId="0" fontId="18" fillId="3" borderId="30" xfId="2" applyFont="1" applyFill="1" applyBorder="1" applyAlignment="1">
      <alignment horizontal="center"/>
    </xf>
    <xf numFmtId="2" fontId="18" fillId="3" borderId="30" xfId="2" applyNumberFormat="1" applyFont="1" applyFill="1" applyBorder="1" applyAlignment="1">
      <alignment horizontal="left"/>
    </xf>
    <xf numFmtId="2" fontId="18" fillId="3" borderId="31" xfId="2" applyNumberFormat="1" applyFont="1" applyFill="1" applyBorder="1" applyAlignment="1">
      <alignment horizontal="left"/>
    </xf>
    <xf numFmtId="2" fontId="18" fillId="3" borderId="39" xfId="2" applyNumberFormat="1" applyFont="1" applyFill="1" applyBorder="1" applyAlignment="1">
      <alignment horizontal="left"/>
    </xf>
    <xf numFmtId="9" fontId="18" fillId="3" borderId="40" xfId="2" applyNumberFormat="1" applyFont="1" applyFill="1" applyBorder="1" applyAlignment="1">
      <alignment horizontal="center"/>
    </xf>
    <xf numFmtId="2" fontId="18" fillId="3" borderId="40" xfId="2" applyNumberFormat="1" applyFont="1" applyFill="1" applyBorder="1" applyAlignment="1">
      <alignment horizontal="left"/>
    </xf>
    <xf numFmtId="0" fontId="18" fillId="3" borderId="40" xfId="2" applyFont="1" applyFill="1" applyBorder="1" applyAlignment="1">
      <alignment horizontal="left"/>
    </xf>
    <xf numFmtId="0" fontId="18" fillId="3" borderId="41" xfId="2" applyFont="1" applyFill="1" applyBorder="1" applyAlignment="1">
      <alignment horizontal="left"/>
    </xf>
    <xf numFmtId="0" fontId="18" fillId="3" borderId="57" xfId="2" applyFont="1" applyFill="1" applyBorder="1" applyAlignment="1">
      <alignment horizontal="left"/>
    </xf>
    <xf numFmtId="2" fontId="18" fillId="3" borderId="29" xfId="2" applyNumberFormat="1" applyFont="1" applyFill="1" applyBorder="1" applyAlignment="1">
      <alignment horizontal="center" vertical="center"/>
    </xf>
    <xf numFmtId="2" fontId="18" fillId="3" borderId="31" xfId="2" applyNumberFormat="1" applyFont="1" applyFill="1" applyBorder="1" applyAlignment="1">
      <alignment horizontal="center" vertical="center"/>
    </xf>
    <xf numFmtId="0" fontId="37" fillId="3" borderId="67" xfId="2" applyFont="1" applyFill="1" applyBorder="1" applyAlignment="1">
      <alignment horizontal="left"/>
    </xf>
    <xf numFmtId="0" fontId="37" fillId="3" borderId="42" xfId="2" applyFont="1" applyFill="1" applyBorder="1" applyAlignment="1">
      <alignment wrapText="1"/>
    </xf>
    <xf numFmtId="0" fontId="37" fillId="3" borderId="40" xfId="2" applyFont="1" applyFill="1" applyBorder="1" applyAlignment="1">
      <alignment horizontal="center"/>
    </xf>
    <xf numFmtId="2" fontId="22" fillId="3" borderId="43" xfId="2" applyNumberFormat="1" applyFont="1" applyFill="1" applyBorder="1" applyAlignment="1">
      <alignment horizontal="center" vertical="center"/>
    </xf>
    <xf numFmtId="2" fontId="37" fillId="3" borderId="60" xfId="2" applyNumberFormat="1" applyFont="1" applyFill="1" applyBorder="1" applyAlignment="1">
      <alignment horizontal="left"/>
    </xf>
    <xf numFmtId="2" fontId="37" fillId="3" borderId="61" xfId="2" applyNumberFormat="1" applyFont="1" applyFill="1" applyBorder="1" applyAlignment="1">
      <alignment horizontal="left"/>
    </xf>
    <xf numFmtId="2" fontId="37" fillId="3" borderId="62" xfId="2" applyNumberFormat="1" applyFont="1" applyFill="1" applyBorder="1" applyAlignment="1">
      <alignment horizontal="left"/>
    </xf>
    <xf numFmtId="2" fontId="37" fillId="3" borderId="42" xfId="2" applyNumberFormat="1" applyFont="1" applyFill="1" applyBorder="1" applyAlignment="1">
      <alignment horizontal="left"/>
    </xf>
    <xf numFmtId="2" fontId="37" fillId="3" borderId="41" xfId="2" applyNumberFormat="1" applyFont="1" applyFill="1" applyBorder="1" applyAlignment="1">
      <alignment horizontal="left"/>
    </xf>
    <xf numFmtId="2" fontId="37" fillId="3" borderId="69" xfId="2" applyNumberFormat="1" applyFont="1" applyFill="1" applyBorder="1" applyAlignment="1">
      <alignment horizontal="left"/>
    </xf>
    <xf numFmtId="0" fontId="37" fillId="3" borderId="61" xfId="2" applyFont="1" applyFill="1" applyBorder="1" applyAlignment="1">
      <alignment horizontal="left"/>
    </xf>
    <xf numFmtId="0" fontId="37" fillId="3" borderId="62" xfId="2" applyFont="1" applyFill="1" applyBorder="1" applyAlignment="1">
      <alignment horizontal="left"/>
    </xf>
    <xf numFmtId="0" fontId="37" fillId="3" borderId="38" xfId="2" applyFont="1" applyFill="1" applyBorder="1" applyAlignment="1">
      <alignment horizontal="left"/>
    </xf>
    <xf numFmtId="0" fontId="37" fillId="3" borderId="68" xfId="2" applyFont="1" applyFill="1" applyBorder="1" applyAlignment="1">
      <alignment horizontal="left"/>
    </xf>
    <xf numFmtId="0" fontId="18" fillId="3" borderId="70" xfId="2" applyFont="1" applyFill="1" applyBorder="1" applyAlignment="1">
      <alignment wrapText="1"/>
    </xf>
    <xf numFmtId="0" fontId="18" fillId="3" borderId="26" xfId="2" applyFont="1" applyFill="1" applyBorder="1" applyAlignment="1">
      <alignment horizontal="center"/>
    </xf>
    <xf numFmtId="2" fontId="18" fillId="3" borderId="71" xfId="2" applyNumberFormat="1" applyFont="1" applyFill="1" applyBorder="1" applyAlignment="1">
      <alignment horizontal="left"/>
    </xf>
    <xf numFmtId="2" fontId="18" fillId="3" borderId="70" xfId="2" applyNumberFormat="1" applyFont="1" applyFill="1" applyBorder="1" applyAlignment="1">
      <alignment horizontal="left"/>
    </xf>
    <xf numFmtId="9" fontId="18" fillId="3" borderId="26" xfId="2" applyNumberFormat="1" applyFont="1" applyFill="1" applyBorder="1" applyAlignment="1">
      <alignment horizontal="left"/>
    </xf>
    <xf numFmtId="2" fontId="18" fillId="3" borderId="26" xfId="2" applyNumberFormat="1" applyFont="1" applyFill="1" applyBorder="1" applyAlignment="1">
      <alignment horizontal="left"/>
    </xf>
    <xf numFmtId="0" fontId="18" fillId="3" borderId="26" xfId="2" applyFont="1" applyFill="1" applyBorder="1" applyAlignment="1">
      <alignment horizontal="left"/>
    </xf>
    <xf numFmtId="0" fontId="18" fillId="3" borderId="27" xfId="2" applyFont="1" applyFill="1" applyBorder="1" applyAlignment="1">
      <alignment horizontal="left"/>
    </xf>
    <xf numFmtId="0" fontId="18" fillId="3" borderId="28" xfId="2" applyFont="1" applyFill="1" applyBorder="1" applyAlignment="1">
      <alignment horizontal="left"/>
    </xf>
    <xf numFmtId="2" fontId="18" fillId="3" borderId="25" xfId="2" applyNumberFormat="1" applyFont="1" applyFill="1" applyBorder="1" applyAlignment="1">
      <alignment horizontal="left"/>
    </xf>
    <xf numFmtId="2" fontId="18" fillId="3" borderId="53" xfId="2" applyNumberFormat="1" applyFont="1" applyFill="1" applyBorder="1" applyAlignment="1">
      <alignment horizontal="left"/>
    </xf>
    <xf numFmtId="2" fontId="18" fillId="3" borderId="5" xfId="2" applyNumberFormat="1" applyFont="1" applyFill="1" applyBorder="1" applyAlignment="1">
      <alignment horizontal="left"/>
    </xf>
    <xf numFmtId="2" fontId="18" fillId="3" borderId="4" xfId="2" applyNumberFormat="1" applyFont="1" applyFill="1" applyBorder="1" applyAlignment="1">
      <alignment horizontal="left"/>
    </xf>
    <xf numFmtId="0" fontId="18" fillId="3" borderId="2" xfId="2" applyFont="1" applyFill="1" applyBorder="1" applyAlignment="1">
      <alignment horizontal="left"/>
    </xf>
    <xf numFmtId="0" fontId="18" fillId="3" borderId="6" xfId="2" applyFont="1" applyFill="1" applyBorder="1" applyAlignment="1">
      <alignment horizontal="left"/>
    </xf>
    <xf numFmtId="2" fontId="18" fillId="3" borderId="6" xfId="2" applyNumberFormat="1" applyFont="1" applyFill="1" applyBorder="1" applyAlignment="1">
      <alignment horizontal="left"/>
    </xf>
    <xf numFmtId="2" fontId="18" fillId="3" borderId="51" xfId="2" applyNumberFormat="1" applyFont="1" applyFill="1" applyBorder="1" applyAlignment="1">
      <alignment horizontal="left"/>
    </xf>
    <xf numFmtId="0" fontId="18" fillId="3" borderId="67" xfId="2" applyFont="1" applyFill="1" applyBorder="1" applyAlignment="1">
      <alignment horizontal="left"/>
    </xf>
    <xf numFmtId="0" fontId="18" fillId="3" borderId="60" xfId="2" applyFont="1" applyFill="1" applyBorder="1" applyAlignment="1">
      <alignment wrapText="1"/>
    </xf>
    <xf numFmtId="0" fontId="18" fillId="3" borderId="61" xfId="2" applyFont="1" applyFill="1" applyBorder="1" applyAlignment="1">
      <alignment horizontal="center"/>
    </xf>
    <xf numFmtId="2" fontId="18" fillId="3" borderId="61" xfId="2" applyNumberFormat="1" applyFont="1" applyFill="1" applyBorder="1" applyAlignment="1">
      <alignment horizontal="left"/>
    </xf>
    <xf numFmtId="2" fontId="18" fillId="3" borderId="69" xfId="2" applyNumberFormat="1" applyFont="1" applyFill="1" applyBorder="1" applyAlignment="1">
      <alignment horizontal="left"/>
    </xf>
    <xf numFmtId="2" fontId="18" fillId="3" borderId="60" xfId="2" applyNumberFormat="1" applyFont="1" applyFill="1" applyBorder="1" applyAlignment="1">
      <alignment horizontal="left"/>
    </xf>
    <xf numFmtId="2" fontId="18" fillId="3" borderId="62" xfId="2" applyNumberFormat="1" applyFont="1" applyFill="1" applyBorder="1" applyAlignment="1">
      <alignment horizontal="left"/>
    </xf>
    <xf numFmtId="2" fontId="18" fillId="3" borderId="38" xfId="2" applyNumberFormat="1" applyFont="1" applyFill="1" applyBorder="1" applyAlignment="1">
      <alignment horizontal="left"/>
    </xf>
    <xf numFmtId="2" fontId="18" fillId="3" borderId="68" xfId="2" applyNumberFormat="1" applyFont="1" applyFill="1" applyBorder="1" applyAlignment="1">
      <alignment horizontal="left"/>
    </xf>
    <xf numFmtId="0" fontId="18" fillId="3" borderId="8" xfId="2" applyFont="1" applyFill="1" applyBorder="1" applyAlignment="1">
      <alignment horizontal="left"/>
    </xf>
    <xf numFmtId="0" fontId="18" fillId="3" borderId="9" xfId="2" applyFont="1" applyFill="1" applyBorder="1" applyAlignment="1">
      <alignment wrapText="1"/>
    </xf>
    <xf numFmtId="0" fontId="18" fillId="3" borderId="10" xfId="2" applyFont="1" applyFill="1" applyBorder="1" applyAlignment="1">
      <alignment horizontal="center"/>
    </xf>
    <xf numFmtId="2" fontId="18" fillId="3" borderId="11" xfId="2" applyNumberFormat="1" applyFont="1" applyFill="1" applyBorder="1" applyAlignment="1">
      <alignment horizontal="left"/>
    </xf>
    <xf numFmtId="2" fontId="18" fillId="3" borderId="9" xfId="2" applyNumberFormat="1" applyFont="1" applyFill="1" applyBorder="1" applyAlignment="1">
      <alignment horizontal="left"/>
    </xf>
    <xf numFmtId="9" fontId="18" fillId="3" borderId="10" xfId="2" applyNumberFormat="1" applyFont="1" applyFill="1" applyBorder="1" applyAlignment="1">
      <alignment horizontal="left"/>
    </xf>
    <xf numFmtId="2" fontId="18" fillId="3" borderId="10" xfId="2" applyNumberFormat="1" applyFont="1" applyFill="1" applyBorder="1" applyAlignment="1">
      <alignment horizontal="left"/>
    </xf>
    <xf numFmtId="0" fontId="18" fillId="3" borderId="10" xfId="2" applyFont="1" applyFill="1" applyBorder="1" applyAlignment="1">
      <alignment horizontal="left"/>
    </xf>
    <xf numFmtId="0" fontId="18" fillId="3" borderId="12" xfId="2" applyFont="1" applyFill="1" applyBorder="1" applyAlignment="1">
      <alignment horizontal="left"/>
    </xf>
    <xf numFmtId="0" fontId="18" fillId="3" borderId="13" xfId="2" applyFont="1" applyFill="1" applyBorder="1" applyAlignment="1">
      <alignment horizontal="left"/>
    </xf>
    <xf numFmtId="2" fontId="18" fillId="3" borderId="61" xfId="2" applyNumberFormat="1" applyFont="1" applyFill="1" applyBorder="1" applyAlignment="1">
      <alignment horizontal="center"/>
    </xf>
    <xf numFmtId="0" fontId="32" fillId="3" borderId="70" xfId="2" applyFont="1" applyFill="1" applyBorder="1" applyAlignment="1">
      <alignment wrapText="1"/>
    </xf>
    <xf numFmtId="0" fontId="18" fillId="3" borderId="72" xfId="2" applyFont="1" applyFill="1" applyBorder="1" applyAlignment="1">
      <alignment horizontal="left"/>
    </xf>
    <xf numFmtId="2" fontId="18" fillId="3" borderId="73" xfId="2" applyNumberFormat="1" applyFont="1" applyFill="1" applyBorder="1" applyAlignment="1">
      <alignment horizontal="left"/>
    </xf>
    <xf numFmtId="0" fontId="18" fillId="3" borderId="14" xfId="2" applyFont="1" applyFill="1" applyBorder="1" applyAlignment="1">
      <alignment horizontal="left"/>
    </xf>
    <xf numFmtId="0" fontId="18" fillId="3" borderId="15" xfId="2" applyFont="1" applyFill="1" applyBorder="1" applyAlignment="1">
      <alignment wrapText="1"/>
    </xf>
    <xf numFmtId="0" fontId="18" fillId="3" borderId="16" xfId="2" applyFont="1" applyFill="1" applyBorder="1" applyAlignment="1">
      <alignment horizontal="center"/>
    </xf>
    <xf numFmtId="2" fontId="18" fillId="3" borderId="16" xfId="2" applyNumberFormat="1" applyFont="1" applyFill="1" applyBorder="1" applyAlignment="1">
      <alignment horizontal="center"/>
    </xf>
    <xf numFmtId="2" fontId="18" fillId="3" borderId="16" xfId="2" applyNumberFormat="1" applyFont="1" applyFill="1" applyBorder="1" applyAlignment="1">
      <alignment horizontal="left"/>
    </xf>
    <xf numFmtId="2" fontId="18" fillId="3" borderId="17" xfId="2" applyNumberFormat="1" applyFont="1" applyFill="1" applyBorder="1" applyAlignment="1">
      <alignment horizontal="left"/>
    </xf>
    <xf numFmtId="2" fontId="18" fillId="3" borderId="15" xfId="2" applyNumberFormat="1" applyFont="1" applyFill="1" applyBorder="1" applyAlignment="1">
      <alignment horizontal="left"/>
    </xf>
    <xf numFmtId="9" fontId="18" fillId="3" borderId="16" xfId="2" applyNumberFormat="1" applyFont="1" applyFill="1" applyBorder="1" applyAlignment="1">
      <alignment horizontal="left"/>
    </xf>
    <xf numFmtId="0" fontId="18" fillId="3" borderId="16" xfId="2" applyFont="1" applyFill="1" applyBorder="1" applyAlignment="1">
      <alignment horizontal="left"/>
    </xf>
    <xf numFmtId="0" fontId="18" fillId="3" borderId="18" xfId="2" applyFont="1" applyFill="1" applyBorder="1" applyAlignment="1">
      <alignment horizontal="left"/>
    </xf>
    <xf numFmtId="0" fontId="18" fillId="3" borderId="19" xfId="2" applyFont="1" applyFill="1" applyBorder="1" applyAlignment="1">
      <alignment horizontal="left"/>
    </xf>
    <xf numFmtId="2" fontId="18" fillId="3" borderId="20" xfId="2" applyNumberFormat="1" applyFont="1" applyFill="1" applyBorder="1" applyAlignment="1">
      <alignment horizontal="left"/>
    </xf>
    <xf numFmtId="2" fontId="18" fillId="3" borderId="18" xfId="2" applyNumberFormat="1" applyFont="1" applyFill="1" applyBorder="1" applyAlignment="1">
      <alignment horizontal="left"/>
    </xf>
    <xf numFmtId="0" fontId="18" fillId="3" borderId="74" xfId="2" applyFont="1" applyFill="1" applyBorder="1" applyAlignment="1">
      <alignment horizontal="left"/>
    </xf>
    <xf numFmtId="0" fontId="18" fillId="3" borderId="75" xfId="2" applyFont="1" applyFill="1" applyBorder="1" applyAlignment="1">
      <alignment wrapText="1"/>
    </xf>
    <xf numFmtId="0" fontId="18" fillId="3" borderId="76" xfId="2" applyFont="1" applyFill="1" applyBorder="1" applyAlignment="1">
      <alignment horizontal="center"/>
    </xf>
    <xf numFmtId="2" fontId="18" fillId="3" borderId="76" xfId="2" applyNumberFormat="1" applyFont="1" applyFill="1" applyBorder="1" applyAlignment="1">
      <alignment horizontal="left"/>
    </xf>
    <xf numFmtId="2" fontId="18" fillId="3" borderId="77" xfId="2" applyNumberFormat="1" applyFont="1" applyFill="1" applyBorder="1" applyAlignment="1">
      <alignment horizontal="left"/>
    </xf>
    <xf numFmtId="2" fontId="18" fillId="3" borderId="75" xfId="2" applyNumberFormat="1" applyFont="1" applyFill="1" applyBorder="1" applyAlignment="1">
      <alignment horizontal="left"/>
    </xf>
    <xf numFmtId="2" fontId="18" fillId="3" borderId="78" xfId="2" applyNumberFormat="1" applyFont="1" applyFill="1" applyBorder="1" applyAlignment="1">
      <alignment horizontal="left"/>
    </xf>
    <xf numFmtId="2" fontId="18" fillId="3" borderId="58" xfId="2" applyNumberFormat="1" applyFont="1" applyFill="1" applyBorder="1" applyAlignment="1">
      <alignment horizontal="left"/>
    </xf>
    <xf numFmtId="2" fontId="18" fillId="3" borderId="79" xfId="2" applyNumberFormat="1" applyFont="1" applyFill="1" applyBorder="1" applyAlignment="1">
      <alignment horizontal="left"/>
    </xf>
    <xf numFmtId="0" fontId="37" fillId="3" borderId="60" xfId="2" applyFont="1" applyFill="1" applyBorder="1" applyAlignment="1">
      <alignment wrapText="1"/>
    </xf>
    <xf numFmtId="0" fontId="37" fillId="3" borderId="61" xfId="2" applyFont="1" applyFill="1" applyBorder="1" applyAlignment="1">
      <alignment horizontal="center"/>
    </xf>
    <xf numFmtId="2" fontId="37" fillId="3" borderId="68" xfId="2" applyNumberFormat="1" applyFont="1" applyFill="1" applyBorder="1" applyAlignment="1">
      <alignment horizontal="left"/>
    </xf>
    <xf numFmtId="0" fontId="37" fillId="3" borderId="37" xfId="2" applyFont="1" applyFill="1" applyBorder="1" applyAlignment="1">
      <alignment horizontal="left"/>
    </xf>
    <xf numFmtId="2" fontId="37" fillId="3" borderId="40" xfId="2" applyNumberFormat="1" applyFont="1" applyFill="1" applyBorder="1" applyAlignment="1">
      <alignment horizontal="left"/>
    </xf>
    <xf numFmtId="2" fontId="37" fillId="3" borderId="43" xfId="2" applyNumberFormat="1" applyFont="1" applyFill="1" applyBorder="1" applyAlignment="1">
      <alignment horizontal="left"/>
    </xf>
    <xf numFmtId="2" fontId="37" fillId="3" borderId="39" xfId="2" applyNumberFormat="1" applyFont="1" applyFill="1" applyBorder="1" applyAlignment="1">
      <alignment horizontal="left"/>
    </xf>
    <xf numFmtId="0" fontId="37" fillId="3" borderId="74" xfId="2" applyFont="1" applyFill="1" applyBorder="1" applyAlignment="1">
      <alignment horizontal="left"/>
    </xf>
    <xf numFmtId="2" fontId="37" fillId="3" borderId="75" xfId="2" applyNumberFormat="1" applyFont="1" applyFill="1" applyBorder="1" applyAlignment="1">
      <alignment horizontal="left"/>
    </xf>
    <xf numFmtId="0" fontId="37" fillId="3" borderId="76" xfId="2" applyFont="1" applyFill="1" applyBorder="1" applyAlignment="1">
      <alignment horizontal="left"/>
    </xf>
    <xf numFmtId="0" fontId="37" fillId="3" borderId="78" xfId="2" applyFont="1" applyFill="1" applyBorder="1" applyAlignment="1">
      <alignment horizontal="left"/>
    </xf>
    <xf numFmtId="0" fontId="37" fillId="3" borderId="58" xfId="2" applyFont="1" applyFill="1" applyBorder="1" applyAlignment="1">
      <alignment horizontal="left"/>
    </xf>
    <xf numFmtId="0" fontId="37" fillId="3" borderId="79" xfId="2" applyFont="1" applyFill="1" applyBorder="1" applyAlignment="1">
      <alignment horizontal="left"/>
    </xf>
    <xf numFmtId="2" fontId="37" fillId="3" borderId="78" xfId="2" applyNumberFormat="1" applyFont="1" applyFill="1" applyBorder="1" applyAlignment="1">
      <alignment horizontal="left"/>
    </xf>
    <xf numFmtId="2" fontId="18" fillId="3" borderId="63" xfId="2" applyNumberFormat="1" applyFont="1" applyFill="1" applyBorder="1" applyAlignment="1">
      <alignment horizontal="left"/>
    </xf>
    <xf numFmtId="9" fontId="18" fillId="3" borderId="23" xfId="2" applyNumberFormat="1" applyFont="1" applyFill="1" applyBorder="1" applyAlignment="1">
      <alignment horizontal="left"/>
    </xf>
    <xf numFmtId="0" fontId="18" fillId="3" borderId="23" xfId="2" applyFont="1" applyFill="1" applyBorder="1" applyAlignment="1">
      <alignment horizontal="left"/>
    </xf>
    <xf numFmtId="0" fontId="18" fillId="3" borderId="80" xfId="2" applyFont="1" applyFill="1" applyBorder="1" applyAlignment="1">
      <alignment horizontal="left"/>
    </xf>
    <xf numFmtId="2" fontId="18" fillId="3" borderId="22" xfId="2" applyNumberFormat="1" applyFont="1" applyFill="1" applyBorder="1" applyAlignment="1">
      <alignment horizontal="left"/>
    </xf>
    <xf numFmtId="0" fontId="18" fillId="3" borderId="4" xfId="0" applyFont="1" applyFill="1" applyBorder="1" applyAlignment="1">
      <alignment wrapText="1"/>
    </xf>
    <xf numFmtId="2" fontId="18" fillId="3" borderId="27" xfId="2" applyNumberFormat="1" applyFont="1" applyFill="1" applyBorder="1" applyAlignment="1">
      <alignment horizontal="left"/>
    </xf>
    <xf numFmtId="0" fontId="18" fillId="3" borderId="71" xfId="2" applyFont="1" applyFill="1" applyBorder="1" applyAlignment="1">
      <alignment horizontal="left"/>
    </xf>
    <xf numFmtId="0" fontId="18" fillId="3" borderId="5" xfId="2" applyFont="1" applyFill="1" applyBorder="1" applyAlignment="1">
      <alignment horizontal="left"/>
    </xf>
    <xf numFmtId="0" fontId="18" fillId="3" borderId="9" xfId="0" applyFont="1" applyFill="1" applyBorder="1" applyAlignment="1">
      <alignment wrapText="1"/>
    </xf>
    <xf numFmtId="164" fontId="18" fillId="3" borderId="30" xfId="2" applyNumberFormat="1" applyFont="1" applyFill="1" applyBorder="1" applyAlignment="1">
      <alignment horizontal="center"/>
    </xf>
    <xf numFmtId="2" fontId="18" fillId="3" borderId="33" xfId="2" applyNumberFormat="1" applyFont="1" applyFill="1" applyBorder="1" applyAlignment="1">
      <alignment horizontal="left"/>
    </xf>
    <xf numFmtId="9" fontId="18" fillId="3" borderId="30" xfId="2" applyNumberFormat="1" applyFont="1" applyFill="1" applyBorder="1" applyAlignment="1">
      <alignment horizontal="left"/>
    </xf>
    <xf numFmtId="0" fontId="18" fillId="3" borderId="30" xfId="2" applyFont="1" applyFill="1" applyBorder="1" applyAlignment="1">
      <alignment horizontal="left"/>
    </xf>
    <xf numFmtId="0" fontId="18" fillId="3" borderId="35" xfId="2" applyFont="1" applyFill="1" applyBorder="1" applyAlignment="1">
      <alignment horizontal="left"/>
    </xf>
    <xf numFmtId="2" fontId="18" fillId="3" borderId="29" xfId="2" applyNumberFormat="1" applyFont="1" applyFill="1" applyBorder="1" applyAlignment="1">
      <alignment horizontal="left"/>
    </xf>
    <xf numFmtId="2" fontId="18" fillId="3" borderId="57" xfId="2" applyNumberFormat="1" applyFont="1" applyFill="1" applyBorder="1" applyAlignment="1">
      <alignment horizontal="left"/>
    </xf>
    <xf numFmtId="2" fontId="18" fillId="3" borderId="34" xfId="2" applyNumberFormat="1" applyFont="1" applyFill="1" applyBorder="1" applyAlignment="1">
      <alignment horizontal="left"/>
    </xf>
    <xf numFmtId="164" fontId="18" fillId="3" borderId="10" xfId="2" applyNumberFormat="1" applyFont="1" applyFill="1" applyBorder="1" applyAlignment="1">
      <alignment horizontal="center"/>
    </xf>
    <xf numFmtId="2" fontId="18" fillId="3" borderId="42" xfId="2" applyNumberFormat="1" applyFont="1" applyFill="1" applyBorder="1" applyAlignment="1">
      <alignment horizontal="left"/>
    </xf>
    <xf numFmtId="0" fontId="32" fillId="3" borderId="60" xfId="2" applyFont="1" applyFill="1" applyBorder="1" applyAlignment="1">
      <alignment wrapText="1"/>
    </xf>
    <xf numFmtId="0" fontId="18" fillId="3" borderId="61" xfId="2" applyFont="1" applyFill="1" applyBorder="1" applyAlignment="1">
      <alignment horizontal="left"/>
    </xf>
    <xf numFmtId="0" fontId="18" fillId="3" borderId="62" xfId="2" applyFont="1" applyFill="1" applyBorder="1" applyAlignment="1">
      <alignment horizontal="left"/>
    </xf>
    <xf numFmtId="0" fontId="18" fillId="3" borderId="38" xfId="2" applyFont="1" applyFill="1" applyBorder="1" applyAlignment="1">
      <alignment horizontal="left"/>
    </xf>
    <xf numFmtId="0" fontId="18" fillId="3" borderId="68" xfId="2" applyFont="1" applyFill="1" applyBorder="1" applyAlignment="1">
      <alignment horizontal="left"/>
    </xf>
    <xf numFmtId="2" fontId="18" fillId="3" borderId="23" xfId="2" applyNumberFormat="1" applyFont="1" applyFill="1" applyBorder="1" applyAlignment="1">
      <alignment horizontal="center"/>
    </xf>
    <xf numFmtId="0" fontId="18" fillId="3" borderId="24" xfId="2" applyFont="1" applyFill="1" applyBorder="1" applyAlignment="1">
      <alignment horizontal="left"/>
    </xf>
    <xf numFmtId="0" fontId="18" fillId="3" borderId="53" xfId="2" applyFont="1" applyFill="1" applyBorder="1" applyAlignment="1">
      <alignment horizontal="left"/>
    </xf>
    <xf numFmtId="2" fontId="18" fillId="3" borderId="30" xfId="2" applyNumberFormat="1" applyFont="1" applyFill="1" applyBorder="1" applyAlignment="1">
      <alignment horizontal="center"/>
    </xf>
    <xf numFmtId="0" fontId="18" fillId="3" borderId="31" xfId="2" applyFont="1" applyFill="1" applyBorder="1" applyAlignment="1">
      <alignment horizontal="left"/>
    </xf>
    <xf numFmtId="0" fontId="18" fillId="3" borderId="51" xfId="2" applyFont="1" applyFill="1" applyBorder="1" applyAlignment="1">
      <alignment horizontal="left"/>
    </xf>
    <xf numFmtId="0" fontId="32" fillId="3" borderId="75" xfId="2" applyFont="1" applyFill="1" applyBorder="1" applyAlignment="1">
      <alignment wrapText="1"/>
    </xf>
    <xf numFmtId="2" fontId="18" fillId="3" borderId="81" xfId="2" applyNumberFormat="1" applyFont="1" applyFill="1" applyBorder="1" applyAlignment="1">
      <alignment horizontal="left"/>
    </xf>
    <xf numFmtId="2" fontId="18" fillId="3" borderId="32" xfId="2" applyNumberFormat="1" applyFont="1" applyFill="1" applyBorder="1" applyAlignment="1">
      <alignment horizontal="left"/>
    </xf>
    <xf numFmtId="0" fontId="18" fillId="3" borderId="42" xfId="2" applyFont="1" applyFill="1" applyBorder="1" applyAlignment="1">
      <alignment wrapText="1"/>
    </xf>
    <xf numFmtId="164" fontId="18" fillId="3" borderId="40" xfId="2" applyNumberFormat="1" applyFont="1" applyFill="1" applyBorder="1" applyAlignment="1">
      <alignment horizontal="center"/>
    </xf>
    <xf numFmtId="0" fontId="18" fillId="3" borderId="40" xfId="2" applyFont="1" applyFill="1" applyBorder="1" applyAlignment="1">
      <alignment horizontal="center"/>
    </xf>
    <xf numFmtId="2" fontId="18" fillId="3" borderId="41" xfId="2" applyNumberFormat="1" applyFont="1" applyFill="1" applyBorder="1" applyAlignment="1">
      <alignment horizontal="left"/>
    </xf>
    <xf numFmtId="2" fontId="18" fillId="3" borderId="52" xfId="2" applyNumberFormat="1" applyFont="1" applyFill="1" applyBorder="1" applyAlignment="1">
      <alignment horizontal="left"/>
    </xf>
    <xf numFmtId="0" fontId="32" fillId="3" borderId="22" xfId="2" applyFont="1" applyFill="1" applyBorder="1" applyAlignment="1">
      <alignment wrapText="1"/>
    </xf>
    <xf numFmtId="2" fontId="18" fillId="3" borderId="80" xfId="2" applyNumberFormat="1" applyFont="1" applyFill="1" applyBorder="1" applyAlignment="1">
      <alignment horizontal="left"/>
    </xf>
    <xf numFmtId="0" fontId="18" fillId="3" borderId="63" xfId="2" applyFont="1" applyFill="1" applyBorder="1" applyAlignment="1">
      <alignment horizontal="left"/>
    </xf>
    <xf numFmtId="2" fontId="18" fillId="3" borderId="35" xfId="2" applyNumberFormat="1" applyFont="1" applyFill="1" applyBorder="1" applyAlignment="1">
      <alignment horizontal="left"/>
    </xf>
    <xf numFmtId="164" fontId="37" fillId="3" borderId="61" xfId="2" applyNumberFormat="1" applyFont="1" applyFill="1" applyBorder="1" applyAlignment="1">
      <alignment horizontal="center"/>
    </xf>
    <xf numFmtId="2" fontId="37" fillId="3" borderId="38" xfId="2" applyNumberFormat="1" applyFont="1" applyFill="1" applyBorder="1" applyAlignment="1">
      <alignment horizontal="left"/>
    </xf>
    <xf numFmtId="0" fontId="37" fillId="3" borderId="14" xfId="2" applyFont="1" applyFill="1" applyBorder="1" applyAlignment="1">
      <alignment horizontal="left"/>
    </xf>
    <xf numFmtId="0" fontId="37" fillId="3" borderId="15" xfId="2" applyFont="1" applyFill="1" applyBorder="1" applyAlignment="1">
      <alignment wrapText="1"/>
    </xf>
    <xf numFmtId="0" fontId="37" fillId="3" borderId="16" xfId="2" applyFont="1" applyFill="1" applyBorder="1" applyAlignment="1">
      <alignment horizontal="center"/>
    </xf>
    <xf numFmtId="2" fontId="37" fillId="3" borderId="16" xfId="2" applyNumberFormat="1" applyFont="1" applyFill="1" applyBorder="1" applyAlignment="1">
      <alignment horizontal="left"/>
    </xf>
    <xf numFmtId="2" fontId="37" fillId="3" borderId="18" xfId="2" applyNumberFormat="1" applyFont="1" applyFill="1" applyBorder="1" applyAlignment="1">
      <alignment horizontal="left"/>
    </xf>
    <xf numFmtId="2" fontId="37" fillId="3" borderId="20" xfId="2" applyNumberFormat="1" applyFont="1" applyFill="1" applyBorder="1" applyAlignment="1">
      <alignment horizontal="left"/>
    </xf>
    <xf numFmtId="2" fontId="37" fillId="3" borderId="17" xfId="2" applyNumberFormat="1" applyFont="1" applyFill="1" applyBorder="1" applyAlignment="1">
      <alignment horizontal="left"/>
    </xf>
    <xf numFmtId="2" fontId="37" fillId="3" borderId="19" xfId="2" applyNumberFormat="1" applyFont="1" applyFill="1" applyBorder="1" applyAlignment="1">
      <alignment horizontal="left"/>
    </xf>
    <xf numFmtId="0" fontId="37" fillId="3" borderId="69" xfId="2" applyFont="1" applyFill="1" applyBorder="1" applyAlignment="1">
      <alignment horizontal="left"/>
    </xf>
    <xf numFmtId="2" fontId="18" fillId="3" borderId="28" xfId="2" applyNumberFormat="1" applyFont="1" applyFill="1" applyBorder="1" applyAlignment="1">
      <alignment horizontal="left"/>
    </xf>
    <xf numFmtId="0" fontId="37" fillId="3" borderId="75" xfId="2" applyFont="1" applyFill="1" applyBorder="1" applyAlignment="1">
      <alignment wrapText="1"/>
    </xf>
    <xf numFmtId="0" fontId="37" fillId="3" borderId="76" xfId="2" applyFont="1" applyFill="1" applyBorder="1" applyAlignment="1">
      <alignment horizontal="center"/>
    </xf>
    <xf numFmtId="2" fontId="37" fillId="3" borderId="76" xfId="2" applyNumberFormat="1" applyFont="1" applyFill="1" applyBorder="1" applyAlignment="1">
      <alignment horizontal="left"/>
    </xf>
    <xf numFmtId="2" fontId="37" fillId="3" borderId="77" xfId="2" applyNumberFormat="1" applyFont="1" applyFill="1" applyBorder="1" applyAlignment="1">
      <alignment horizontal="left"/>
    </xf>
    <xf numFmtId="0" fontId="18" fillId="3" borderId="25" xfId="2" applyFont="1" applyFill="1" applyBorder="1" applyAlignment="1">
      <alignment horizontal="left"/>
    </xf>
    <xf numFmtId="0" fontId="32" fillId="3" borderId="4" xfId="2" applyFont="1" applyFill="1" applyBorder="1" applyAlignment="1">
      <alignment wrapText="1"/>
    </xf>
    <xf numFmtId="2" fontId="18" fillId="3" borderId="26" xfId="2" applyNumberFormat="1" applyFont="1" applyFill="1" applyBorder="1" applyAlignment="1">
      <alignment horizontal="center"/>
    </xf>
    <xf numFmtId="2" fontId="37" fillId="3" borderId="15" xfId="2" applyNumberFormat="1" applyFont="1" applyFill="1" applyBorder="1" applyAlignment="1">
      <alignment horizontal="left"/>
    </xf>
    <xf numFmtId="2" fontId="37" fillId="3" borderId="58" xfId="2" applyNumberFormat="1" applyFont="1" applyFill="1" applyBorder="1" applyAlignment="1">
      <alignment horizontal="left"/>
    </xf>
    <xf numFmtId="0" fontId="18" fillId="3" borderId="44" xfId="2" applyFont="1" applyFill="1" applyBorder="1" applyAlignment="1">
      <alignment horizontal="left"/>
    </xf>
    <xf numFmtId="0" fontId="18" fillId="3" borderId="39" xfId="2" applyFont="1" applyFill="1" applyBorder="1" applyAlignment="1">
      <alignment horizontal="left"/>
    </xf>
    <xf numFmtId="0" fontId="18" fillId="3" borderId="69" xfId="2" applyFont="1" applyFill="1" applyBorder="1" applyAlignment="1">
      <alignment horizontal="left"/>
    </xf>
    <xf numFmtId="0" fontId="18" fillId="3" borderId="60" xfId="2" applyFont="1" applyFill="1" applyBorder="1" applyAlignment="1">
      <alignment horizontal="left"/>
    </xf>
    <xf numFmtId="2" fontId="18" fillId="3" borderId="44" xfId="2" applyNumberFormat="1" applyFont="1" applyFill="1" applyBorder="1" applyAlignment="1">
      <alignment horizontal="left"/>
    </xf>
    <xf numFmtId="2" fontId="18" fillId="3" borderId="43" xfId="2" applyNumberFormat="1" applyFont="1" applyFill="1" applyBorder="1" applyAlignment="1">
      <alignment horizontal="left"/>
    </xf>
    <xf numFmtId="2" fontId="37" fillId="3" borderId="79" xfId="2" applyNumberFormat="1" applyFont="1" applyFill="1" applyBorder="1" applyAlignment="1">
      <alignment horizontal="left"/>
    </xf>
    <xf numFmtId="0" fontId="18" fillId="3" borderId="63" xfId="2" applyFont="1" applyFill="1" applyBorder="1" applyAlignment="1">
      <alignment wrapText="1"/>
    </xf>
    <xf numFmtId="2" fontId="18" fillId="3" borderId="64" xfId="2" applyNumberFormat="1" applyFont="1" applyFill="1" applyBorder="1" applyAlignment="1">
      <alignment horizontal="left"/>
    </xf>
    <xf numFmtId="0" fontId="18" fillId="3" borderId="33" xfId="2" applyFont="1" applyFill="1" applyBorder="1" applyAlignment="1">
      <alignment wrapText="1"/>
    </xf>
    <xf numFmtId="2" fontId="18" fillId="3" borderId="40" xfId="2" applyNumberFormat="1" applyFont="1" applyFill="1" applyBorder="1" applyAlignment="1">
      <alignment horizontal="center"/>
    </xf>
    <xf numFmtId="0" fontId="9" fillId="3" borderId="3" xfId="2" applyFont="1" applyFill="1" applyBorder="1" applyAlignment="1">
      <alignment horizontal="left"/>
    </xf>
    <xf numFmtId="0" fontId="9" fillId="3" borderId="4" xfId="2" applyFont="1" applyFill="1" applyBorder="1" applyAlignment="1">
      <alignment wrapText="1"/>
    </xf>
    <xf numFmtId="2" fontId="9" fillId="3" borderId="1" xfId="2" applyNumberFormat="1" applyFont="1" applyFill="1" applyBorder="1" applyAlignment="1">
      <alignment horizontal="center"/>
    </xf>
    <xf numFmtId="2" fontId="9" fillId="3" borderId="1" xfId="2" applyNumberFormat="1" applyFont="1" applyFill="1" applyBorder="1" applyAlignment="1">
      <alignment horizontal="left"/>
    </xf>
    <xf numFmtId="2" fontId="9" fillId="3" borderId="2" xfId="2" applyNumberFormat="1" applyFont="1" applyFill="1" applyBorder="1" applyAlignment="1">
      <alignment horizontal="left"/>
    </xf>
    <xf numFmtId="0" fontId="9" fillId="3" borderId="2" xfId="2" applyFont="1" applyFill="1" applyBorder="1" applyAlignment="1">
      <alignment horizontal="left"/>
    </xf>
    <xf numFmtId="0" fontId="9" fillId="3" borderId="6" xfId="2" applyFont="1" applyFill="1" applyBorder="1" applyAlignment="1">
      <alignment horizontal="left"/>
    </xf>
    <xf numFmtId="2" fontId="9" fillId="3" borderId="7" xfId="2" applyNumberFormat="1" applyFont="1" applyFill="1" applyBorder="1" applyAlignment="1">
      <alignment horizontal="left"/>
    </xf>
    <xf numFmtId="1" fontId="18" fillId="3" borderId="40" xfId="2" applyNumberFormat="1" applyFont="1" applyFill="1" applyBorder="1" applyAlignment="1">
      <alignment horizontal="center"/>
    </xf>
    <xf numFmtId="2" fontId="18" fillId="3" borderId="60" xfId="2" applyNumberFormat="1" applyFont="1" applyFill="1" applyBorder="1" applyAlignment="1">
      <alignment horizontal="center"/>
    </xf>
    <xf numFmtId="2" fontId="18" fillId="3" borderId="38" xfId="2" applyNumberFormat="1" applyFont="1" applyFill="1" applyBorder="1" applyAlignment="1">
      <alignment horizontal="center"/>
    </xf>
    <xf numFmtId="2" fontId="18" fillId="3" borderId="68" xfId="2" applyNumberFormat="1" applyFont="1" applyFill="1" applyBorder="1" applyAlignment="1">
      <alignment horizontal="center"/>
    </xf>
    <xf numFmtId="2" fontId="18" fillId="3" borderId="62" xfId="2" applyNumberFormat="1" applyFont="1" applyFill="1" applyBorder="1" applyAlignment="1">
      <alignment horizontal="center"/>
    </xf>
    <xf numFmtId="164" fontId="37" fillId="3" borderId="76" xfId="2" applyNumberFormat="1" applyFont="1" applyFill="1" applyBorder="1" applyAlignment="1">
      <alignment horizontal="center"/>
    </xf>
    <xf numFmtId="0" fontId="18" fillId="3" borderId="21" xfId="2" applyFont="1" applyFill="1" applyBorder="1" applyAlignment="1">
      <alignment wrapText="1"/>
    </xf>
    <xf numFmtId="0" fontId="18" fillId="3" borderId="3" xfId="2" applyFont="1" applyFill="1" applyBorder="1" applyAlignment="1">
      <alignment wrapText="1"/>
    </xf>
    <xf numFmtId="0" fontId="18" fillId="3" borderId="34" xfId="2" applyFont="1" applyFill="1" applyBorder="1" applyAlignment="1">
      <alignment horizontal="left"/>
    </xf>
    <xf numFmtId="0" fontId="18" fillId="3" borderId="66" xfId="2" applyFont="1" applyFill="1" applyBorder="1" applyAlignment="1">
      <alignment wrapText="1"/>
    </xf>
    <xf numFmtId="0" fontId="18" fillId="3" borderId="36" xfId="2" applyFont="1" applyFill="1" applyBorder="1" applyAlignment="1">
      <alignment horizontal="left"/>
    </xf>
    <xf numFmtId="0" fontId="18" fillId="3" borderId="44" xfId="2" applyFont="1" applyFill="1" applyBorder="1" applyAlignment="1">
      <alignment wrapText="1"/>
    </xf>
    <xf numFmtId="0" fontId="18" fillId="3" borderId="39" xfId="2" applyFont="1" applyFill="1" applyBorder="1" applyAlignment="1">
      <alignment horizontal="center"/>
    </xf>
    <xf numFmtId="0" fontId="37" fillId="3" borderId="21" xfId="2" applyFont="1" applyFill="1" applyBorder="1" applyAlignment="1">
      <alignment horizontal="left"/>
    </xf>
    <xf numFmtId="0" fontId="37" fillId="3" borderId="21" xfId="2" applyFont="1" applyFill="1" applyBorder="1" applyAlignment="1">
      <alignment wrapText="1"/>
    </xf>
    <xf numFmtId="0" fontId="37" fillId="3" borderId="22" xfId="2" applyFont="1" applyFill="1" applyBorder="1" applyAlignment="1">
      <alignment horizontal="center"/>
    </xf>
    <xf numFmtId="0" fontId="37" fillId="3" borderId="23" xfId="2" applyFont="1" applyFill="1" applyBorder="1" applyAlignment="1">
      <alignment horizontal="center"/>
    </xf>
    <xf numFmtId="2" fontId="37" fillId="3" borderId="23" xfId="2" applyNumberFormat="1" applyFont="1" applyFill="1" applyBorder="1" applyAlignment="1">
      <alignment horizontal="left"/>
    </xf>
    <xf numFmtId="2" fontId="37" fillId="3" borderId="24" xfId="2" applyNumberFormat="1" applyFont="1" applyFill="1" applyBorder="1" applyAlignment="1">
      <alignment horizontal="left"/>
    </xf>
    <xf numFmtId="2" fontId="37" fillId="3" borderId="70" xfId="2" applyNumberFormat="1" applyFont="1" applyFill="1" applyBorder="1" applyAlignment="1">
      <alignment horizontal="left"/>
    </xf>
    <xf numFmtId="2" fontId="37" fillId="3" borderId="26" xfId="2" applyNumberFormat="1" applyFont="1" applyFill="1" applyBorder="1" applyAlignment="1">
      <alignment horizontal="left"/>
    </xf>
    <xf numFmtId="2" fontId="37" fillId="3" borderId="27" xfId="2" applyNumberFormat="1" applyFont="1" applyFill="1" applyBorder="1" applyAlignment="1">
      <alignment horizontal="left"/>
    </xf>
    <xf numFmtId="2" fontId="37" fillId="3" borderId="25" xfId="2" applyNumberFormat="1" applyFont="1" applyFill="1" applyBorder="1" applyAlignment="1">
      <alignment horizontal="left"/>
    </xf>
    <xf numFmtId="0" fontId="37" fillId="3" borderId="64" xfId="2" applyFont="1" applyFill="1" applyBorder="1" applyAlignment="1">
      <alignment horizontal="left"/>
    </xf>
    <xf numFmtId="0" fontId="22" fillId="3" borderId="64" xfId="2" applyFont="1" applyFill="1" applyBorder="1" applyAlignment="1">
      <alignment wrapText="1"/>
    </xf>
    <xf numFmtId="164" fontId="37" fillId="3" borderId="22" xfId="2" applyNumberFormat="1" applyFont="1" applyFill="1" applyBorder="1" applyAlignment="1">
      <alignment horizontal="center"/>
    </xf>
    <xf numFmtId="2" fontId="37" fillId="3" borderId="23" xfId="2" applyNumberFormat="1" applyFont="1" applyFill="1" applyBorder="1" applyAlignment="1">
      <alignment horizontal="center"/>
    </xf>
    <xf numFmtId="2" fontId="37" fillId="3" borderId="22" xfId="2" applyNumberFormat="1" applyFont="1" applyFill="1" applyBorder="1" applyAlignment="1">
      <alignment horizontal="left"/>
    </xf>
    <xf numFmtId="0" fontId="37" fillId="3" borderId="3" xfId="2" applyFont="1" applyFill="1" applyBorder="1" applyAlignment="1">
      <alignment horizontal="left"/>
    </xf>
    <xf numFmtId="0" fontId="22" fillId="3" borderId="3" xfId="2" applyFont="1" applyFill="1" applyBorder="1" applyAlignment="1">
      <alignment wrapText="1"/>
    </xf>
    <xf numFmtId="164" fontId="37" fillId="3" borderId="4" xfId="2" applyNumberFormat="1" applyFont="1" applyFill="1" applyBorder="1" applyAlignment="1">
      <alignment horizontal="center"/>
    </xf>
    <xf numFmtId="2" fontId="37" fillId="3" borderId="2" xfId="2" applyNumberFormat="1" applyFont="1" applyFill="1" applyBorder="1" applyAlignment="1">
      <alignment horizontal="left"/>
    </xf>
    <xf numFmtId="2" fontId="37" fillId="3" borderId="4" xfId="2" applyNumberFormat="1" applyFont="1" applyFill="1" applyBorder="1" applyAlignment="1">
      <alignment horizontal="left"/>
    </xf>
    <xf numFmtId="0" fontId="37" fillId="3" borderId="66" xfId="2" applyFont="1" applyFill="1" applyBorder="1" applyAlignment="1">
      <alignment horizontal="left"/>
    </xf>
    <xf numFmtId="0" fontId="22" fillId="3" borderId="66" xfId="2" applyFont="1" applyFill="1" applyBorder="1" applyAlignment="1">
      <alignment wrapText="1"/>
    </xf>
    <xf numFmtId="164" fontId="37" fillId="3" borderId="29" xfId="2" applyNumberFormat="1" applyFont="1" applyFill="1" applyBorder="1" applyAlignment="1">
      <alignment horizontal="center"/>
    </xf>
    <xf numFmtId="2" fontId="37" fillId="3" borderId="30" xfId="2" applyNumberFormat="1" applyFont="1" applyFill="1" applyBorder="1" applyAlignment="1">
      <alignment horizontal="center"/>
    </xf>
    <xf numFmtId="2" fontId="37" fillId="3" borderId="30" xfId="2" applyNumberFormat="1" applyFont="1" applyFill="1" applyBorder="1" applyAlignment="1">
      <alignment horizontal="left"/>
    </xf>
    <xf numFmtId="2" fontId="37" fillId="3" borderId="31" xfId="2" applyNumberFormat="1" applyFont="1" applyFill="1" applyBorder="1" applyAlignment="1">
      <alignment horizontal="left"/>
    </xf>
    <xf numFmtId="2" fontId="37" fillId="3" borderId="29" xfId="2" applyNumberFormat="1" applyFont="1" applyFill="1" applyBorder="1" applyAlignment="1">
      <alignment horizontal="left"/>
    </xf>
    <xf numFmtId="0" fontId="22" fillId="3" borderId="60" xfId="2" applyFont="1" applyFill="1" applyBorder="1" applyAlignment="1">
      <alignment wrapText="1"/>
    </xf>
    <xf numFmtId="2" fontId="37" fillId="3" borderId="61" xfId="2" applyNumberFormat="1" applyFont="1" applyFill="1" applyBorder="1" applyAlignment="1">
      <alignment horizontal="center"/>
    </xf>
    <xf numFmtId="2" fontId="37" fillId="3" borderId="45" xfId="2" applyNumberFormat="1" applyFont="1" applyFill="1" applyBorder="1" applyAlignment="1">
      <alignment horizontal="left"/>
    </xf>
    <xf numFmtId="2" fontId="22" fillId="3" borderId="67" xfId="2" applyNumberFormat="1" applyFont="1" applyFill="1" applyBorder="1" applyAlignment="1"/>
    <xf numFmtId="2" fontId="22" fillId="3" borderId="45" xfId="2" applyNumberFormat="1" applyFont="1" applyFill="1" applyBorder="1" applyAlignment="1"/>
    <xf numFmtId="2" fontId="18" fillId="3" borderId="0" xfId="2" applyNumberFormat="1" applyFont="1" applyFill="1" applyAlignment="1">
      <alignment horizontal="center"/>
    </xf>
    <xf numFmtId="0" fontId="8" fillId="3" borderId="0" xfId="0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165" fontId="15" fillId="0" borderId="0" xfId="0" applyNumberFormat="1" applyFont="1"/>
    <xf numFmtId="166" fontId="8" fillId="0" borderId="0" xfId="0" applyNumberFormat="1" applyFont="1" applyFill="1" applyBorder="1" applyAlignment="1">
      <alignment vertical="center"/>
    </xf>
    <xf numFmtId="0" fontId="48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2" fontId="11" fillId="7" borderId="0" xfId="0" applyNumberFormat="1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7" fontId="49" fillId="0" borderId="0" xfId="2" applyNumberFormat="1" applyFont="1" applyFill="1" applyBorder="1" applyAlignment="1">
      <alignment horizontal="center" vertical="center" wrapText="1"/>
    </xf>
    <xf numFmtId="167" fontId="52" fillId="0" borderId="0" xfId="0" applyNumberFormat="1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7" fontId="49" fillId="0" borderId="0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53" fillId="0" borderId="0" xfId="0" applyFont="1" applyFill="1" applyAlignment="1">
      <alignment horizontal="left" vertical="center"/>
    </xf>
    <xf numFmtId="167" fontId="52" fillId="0" borderId="0" xfId="0" applyNumberFormat="1" applyFont="1" applyFill="1" applyBorder="1" applyAlignment="1">
      <alignment horizontal="center" vertical="center" wrapText="1"/>
    </xf>
    <xf numFmtId="167" fontId="49" fillId="0" borderId="0" xfId="2" applyNumberFormat="1" applyFont="1" applyFill="1" applyBorder="1" applyAlignment="1">
      <alignment horizontal="right" vertical="center" wrapText="1"/>
    </xf>
    <xf numFmtId="167" fontId="51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left" vertical="center" wrapText="1"/>
    </xf>
    <xf numFmtId="2" fontId="49" fillId="0" borderId="1" xfId="0" applyNumberFormat="1" applyFont="1" applyFill="1" applyBorder="1" applyAlignment="1">
      <alignment horizontal="center" vertical="center" wrapText="1"/>
    </xf>
    <xf numFmtId="167" fontId="4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2" fontId="51" fillId="0" borderId="1" xfId="0" applyNumberFormat="1" applyFont="1" applyFill="1" applyBorder="1" applyAlignment="1">
      <alignment horizontal="center" vertical="center" wrapText="1"/>
    </xf>
    <xf numFmtId="9" fontId="49" fillId="0" borderId="1" xfId="0" applyNumberFormat="1" applyFont="1" applyFill="1" applyBorder="1" applyAlignment="1">
      <alignment horizontal="center" vertical="center" wrapText="1"/>
    </xf>
    <xf numFmtId="164" fontId="49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1" fontId="5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49" fillId="0" borderId="0" xfId="0" applyNumberFormat="1" applyFont="1" applyFill="1" applyBorder="1" applyAlignment="1">
      <alignment horizontal="left" vertical="center" wrapText="1"/>
    </xf>
    <xf numFmtId="2" fontId="49" fillId="7" borderId="0" xfId="0" applyNumberFormat="1" applyFont="1" applyFill="1" applyBorder="1" applyAlignment="1">
      <alignment horizontal="left" vertical="center" wrapText="1"/>
    </xf>
    <xf numFmtId="10" fontId="49" fillId="0" borderId="0" xfId="0" applyNumberFormat="1" applyFont="1" applyFill="1" applyBorder="1" applyAlignment="1">
      <alignment horizontal="left" vertical="center" wrapText="1"/>
    </xf>
    <xf numFmtId="2" fontId="49" fillId="0" borderId="0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49" fillId="7" borderId="0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7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 wrapText="1"/>
    </xf>
    <xf numFmtId="2" fontId="7" fillId="0" borderId="67" xfId="4" applyNumberFormat="1" applyFont="1" applyFill="1" applyBorder="1" applyAlignment="1">
      <alignment horizontal="center" vertical="center" wrapText="1"/>
    </xf>
    <xf numFmtId="2" fontId="7" fillId="0" borderId="45" xfId="4" applyNumberFormat="1" applyFont="1" applyFill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7" fillId="7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11" fillId="0" borderId="7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wrapText="1"/>
    </xf>
    <xf numFmtId="0" fontId="56" fillId="0" borderId="0" xfId="0" applyFont="1" applyFill="1" applyAlignment="1">
      <alignment horizontal="left" vertical="center" wrapText="1"/>
    </xf>
    <xf numFmtId="0" fontId="54" fillId="0" borderId="0" xfId="0" applyFont="1" applyFill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top" wrapText="1"/>
    </xf>
    <xf numFmtId="0" fontId="18" fillId="0" borderId="64" xfId="2" applyFont="1" applyBorder="1" applyAlignment="1">
      <alignment horizontal="left" vertical="top" wrapText="1"/>
    </xf>
    <xf numFmtId="0" fontId="18" fillId="0" borderId="3" xfId="2" applyFont="1" applyBorder="1" applyAlignment="1">
      <alignment horizontal="left" vertical="top" wrapText="1"/>
    </xf>
    <xf numFmtId="0" fontId="18" fillId="0" borderId="22" xfId="2" applyFont="1" applyBorder="1" applyAlignment="1">
      <alignment horizontal="center" vertical="top" wrapText="1"/>
    </xf>
    <xf numFmtId="0" fontId="18" fillId="0" borderId="4" xfId="2" applyFont="1" applyBorder="1" applyAlignment="1">
      <alignment horizontal="center" vertical="top" wrapText="1"/>
    </xf>
    <xf numFmtId="0" fontId="18" fillId="0" borderId="23" xfId="2" applyFont="1" applyBorder="1" applyAlignment="1">
      <alignment horizontal="center" vertical="top" wrapText="1"/>
    </xf>
    <xf numFmtId="0" fontId="18" fillId="0" borderId="1" xfId="2" applyFont="1" applyBorder="1" applyAlignment="1">
      <alignment horizontal="center" vertical="top" wrapText="1"/>
    </xf>
    <xf numFmtId="0" fontId="18" fillId="0" borderId="77" xfId="2" applyFont="1" applyBorder="1" applyAlignment="1">
      <alignment horizontal="center" vertical="top" wrapText="1"/>
    </xf>
    <xf numFmtId="0" fontId="18" fillId="0" borderId="79" xfId="2" applyFont="1" applyBorder="1" applyAlignment="1">
      <alignment horizontal="center" vertical="top" wrapText="1"/>
    </xf>
    <xf numFmtId="0" fontId="32" fillId="0" borderId="0" xfId="2" applyFont="1" applyBorder="1" applyAlignment="1">
      <alignment horizontal="center" vertical="top" wrapText="1"/>
    </xf>
    <xf numFmtId="0" fontId="22" fillId="3" borderId="67" xfId="2" applyFont="1" applyFill="1" applyBorder="1" applyAlignment="1">
      <alignment horizontal="center" wrapText="1"/>
    </xf>
    <xf numFmtId="0" fontId="22" fillId="3" borderId="52" xfId="2" applyFont="1" applyFill="1" applyBorder="1" applyAlignment="1">
      <alignment horizontal="center" wrapText="1"/>
    </xf>
    <xf numFmtId="0" fontId="22" fillId="3" borderId="68" xfId="2" applyFont="1" applyFill="1" applyBorder="1" applyAlignment="1">
      <alignment horizontal="center" wrapText="1"/>
    </xf>
    <xf numFmtId="0" fontId="22" fillId="3" borderId="74" xfId="2" applyFont="1" applyFill="1" applyBorder="1" applyAlignment="1">
      <alignment horizontal="center" wrapText="1"/>
    </xf>
    <xf numFmtId="0" fontId="22" fillId="3" borderId="82" xfId="2" applyFont="1" applyFill="1" applyBorder="1" applyAlignment="1">
      <alignment horizontal="center" wrapText="1"/>
    </xf>
    <xf numFmtId="0" fontId="22" fillId="3" borderId="45" xfId="2" applyFont="1" applyFill="1" applyBorder="1" applyAlignment="1">
      <alignment horizontal="center" wrapText="1"/>
    </xf>
    <xf numFmtId="0" fontId="32" fillId="3" borderId="37" xfId="2" applyFont="1" applyFill="1" applyBorder="1" applyAlignment="1">
      <alignment horizontal="center" wrapText="1"/>
    </xf>
    <xf numFmtId="0" fontId="32" fillId="3" borderId="57" xfId="2" applyFont="1" applyFill="1" applyBorder="1" applyAlignment="1">
      <alignment horizontal="center" wrapText="1"/>
    </xf>
    <xf numFmtId="0" fontId="32" fillId="3" borderId="39" xfId="2" applyFont="1" applyFill="1" applyBorder="1" applyAlignment="1">
      <alignment horizontal="center" wrapText="1"/>
    </xf>
    <xf numFmtId="0" fontId="32" fillId="3" borderId="74" xfId="2" applyFont="1" applyFill="1" applyBorder="1" applyAlignment="1">
      <alignment horizontal="center" wrapText="1"/>
    </xf>
    <xf numFmtId="0" fontId="32" fillId="3" borderId="82" xfId="2" applyFont="1" applyFill="1" applyBorder="1" applyAlignment="1">
      <alignment horizontal="center" wrapText="1"/>
    </xf>
    <xf numFmtId="0" fontId="32" fillId="3" borderId="79" xfId="2" applyFont="1" applyFill="1" applyBorder="1" applyAlignment="1">
      <alignment horizontal="center" wrapText="1"/>
    </xf>
    <xf numFmtId="0" fontId="22" fillId="3" borderId="8" xfId="2" applyFont="1" applyFill="1" applyBorder="1" applyAlignment="1">
      <alignment horizontal="center" vertical="top" wrapText="1"/>
    </xf>
    <xf numFmtId="0" fontId="22" fillId="3" borderId="73" xfId="2" applyFont="1" applyFill="1" applyBorder="1" applyAlignment="1">
      <alignment horizontal="center" vertical="top" wrapText="1"/>
    </xf>
    <xf numFmtId="0" fontId="22" fillId="3" borderId="32" xfId="2" applyFont="1" applyFill="1" applyBorder="1" applyAlignment="1">
      <alignment horizontal="center" vertical="top" wrapText="1"/>
    </xf>
    <xf numFmtId="0" fontId="18" fillId="0" borderId="58" xfId="2" applyFont="1" applyBorder="1" applyAlignment="1">
      <alignment horizontal="center" vertical="top" wrapText="1"/>
    </xf>
    <xf numFmtId="0" fontId="18" fillId="0" borderId="28" xfId="2" applyFont="1" applyBorder="1" applyAlignment="1">
      <alignment horizontal="center" vertical="top" wrapText="1"/>
    </xf>
    <xf numFmtId="0" fontId="18" fillId="0" borderId="80" xfId="2" applyFont="1" applyBorder="1" applyAlignment="1">
      <alignment horizontal="center" vertical="top" wrapText="1"/>
    </xf>
    <xf numFmtId="0" fontId="18" fillId="0" borderId="65" xfId="2" applyFont="1" applyBorder="1" applyAlignment="1">
      <alignment horizontal="center" vertical="top" wrapText="1"/>
    </xf>
    <xf numFmtId="0" fontId="18" fillId="0" borderId="63" xfId="2" applyFont="1" applyBorder="1" applyAlignment="1">
      <alignment horizontal="center" vertical="top" wrapText="1"/>
    </xf>
    <xf numFmtId="0" fontId="18" fillId="0" borderId="7" xfId="2" applyFont="1" applyBorder="1" applyAlignment="1">
      <alignment horizontal="center" vertical="top" wrapText="1"/>
    </xf>
    <xf numFmtId="2" fontId="18" fillId="0" borderId="78" xfId="2" applyNumberFormat="1" applyFont="1" applyBorder="1" applyAlignment="1">
      <alignment horizontal="center" vertical="top" wrapText="1"/>
    </xf>
    <xf numFmtId="2" fontId="18" fillId="0" borderId="27" xfId="2" applyNumberFormat="1" applyFont="1" applyBorder="1" applyAlignment="1">
      <alignment horizontal="center" vertical="top" wrapText="1"/>
    </xf>
    <xf numFmtId="0" fontId="18" fillId="0" borderId="71" xfId="2" applyFont="1" applyBorder="1" applyAlignment="1">
      <alignment horizontal="center" vertical="top" wrapText="1"/>
    </xf>
    <xf numFmtId="0" fontId="18" fillId="0" borderId="75" xfId="2" applyFont="1" applyBorder="1" applyAlignment="1">
      <alignment horizontal="center" vertical="top" wrapText="1"/>
    </xf>
    <xf numFmtId="0" fontId="18" fillId="0" borderId="70" xfId="2" applyFont="1" applyBorder="1" applyAlignment="1">
      <alignment horizontal="center" vertical="top" wrapText="1"/>
    </xf>
    <xf numFmtId="0" fontId="18" fillId="0" borderId="24" xfId="2" applyFont="1" applyBorder="1" applyAlignment="1">
      <alignment horizontal="center" vertical="top" wrapText="1"/>
    </xf>
    <xf numFmtId="4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vertical="center" wrapText="1"/>
    </xf>
    <xf numFmtId="2" fontId="22" fillId="3" borderId="67" xfId="2" applyNumberFormat="1" applyFont="1" applyFill="1" applyBorder="1" applyAlignment="1">
      <alignment horizontal="center"/>
    </xf>
    <xf numFmtId="2" fontId="22" fillId="3" borderId="45" xfId="2" applyNumberFormat="1" applyFont="1" applyFill="1" applyBorder="1" applyAlignment="1">
      <alignment horizontal="center"/>
    </xf>
    <xf numFmtId="0" fontId="34" fillId="0" borderId="0" xfId="2" applyFont="1" applyFill="1" applyAlignment="1">
      <alignment horizontal="center" vertical="top" wrapText="1"/>
    </xf>
    <xf numFmtId="0" fontId="18" fillId="0" borderId="1" xfId="2" applyFont="1" applyFill="1" applyBorder="1" applyAlignment="1">
      <alignment horizontal="center" vertical="top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top" wrapText="1"/>
    </xf>
    <xf numFmtId="0" fontId="22" fillId="0" borderId="1" xfId="2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/>
    </xf>
    <xf numFmtId="0" fontId="18" fillId="0" borderId="0" xfId="2" applyFont="1" applyFill="1" applyAlignment="1">
      <alignment horizontal="left" vertical="top" wrapText="1"/>
    </xf>
    <xf numFmtId="0" fontId="18" fillId="0" borderId="1" xfId="2" applyFont="1" applyFill="1" applyBorder="1" applyAlignment="1">
      <alignment horizontal="left" vertical="top" wrapText="1"/>
    </xf>
    <xf numFmtId="2" fontId="22" fillId="0" borderId="1" xfId="2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wrapText="1"/>
    </xf>
    <xf numFmtId="0" fontId="32" fillId="0" borderId="1" xfId="2" applyFont="1" applyFill="1" applyBorder="1" applyAlignment="1">
      <alignment horizontal="center" wrapText="1"/>
    </xf>
    <xf numFmtId="0" fontId="11" fillId="0" borderId="34" xfId="0" applyFont="1" applyFill="1" applyBorder="1" applyAlignment="1">
      <alignment vertical="center" wrapText="1"/>
    </xf>
  </cellXfs>
  <cellStyles count="13">
    <cellStyle name="Гиперссылка" xfId="1" builtinId="8"/>
    <cellStyle name="Обычный" xfId="0" builtinId="0"/>
    <cellStyle name="Обычный 2" xfId="2"/>
    <cellStyle name="Обычный 3" xfId="3"/>
    <cellStyle name="Обычный 5" xfId="10"/>
    <cellStyle name="Обычный 6" xfId="11"/>
    <cellStyle name="Обычный 7" xfId="8"/>
    <cellStyle name="Обычный 8" xfId="9"/>
    <cellStyle name="Обычный 9" xfId="12"/>
    <cellStyle name="Обычный_Калькуляция" xfId="4"/>
    <cellStyle name="Обычный_Лист1" xfId="5"/>
    <cellStyle name="Обычный_Лист3" xfId="6"/>
    <cellStyle name="Процентный 2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82;&#1086;&#1085;&#1086;&#1084;&#1110;&#1089;&#1090;\2023%20&#1088;&#1110;&#1082;\&#1058;&#1040;&#1056;&#1048;&#1060;%202022\&#1064;&#1058;&#1040;&#1058;&#1053;&#1048;&#1049;%20&#1056;&#1054;&#1047;&#1055;&#1048;&#1057;%202021%20&#1056;&#1030;&#1050;%20(&#1044;&#1054;&#1044;&#1040;&#1058;&#1054;&#1050;%20&#1044;&#1054;%20&#1053;&#1040;&#1050;&#1040;&#1047;&#105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1"/>
      <sheetName val="01.04.2021"/>
      <sheetName val="01.05.2021"/>
      <sheetName val="01.07.2021"/>
      <sheetName val="чернетка"/>
    </sheetNames>
    <sheetDataSet>
      <sheetData sheetId="0"/>
      <sheetData sheetId="1"/>
      <sheetData sheetId="2"/>
      <sheetData sheetId="3"/>
      <sheetData sheetId="4">
        <row r="13">
          <cell r="I13">
            <v>10</v>
          </cell>
        </row>
        <row r="14">
          <cell r="I14">
            <v>10</v>
          </cell>
        </row>
        <row r="15">
          <cell r="I15">
            <v>10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10</v>
          </cell>
        </row>
        <row r="19">
          <cell r="I19">
            <v>5</v>
          </cell>
        </row>
        <row r="20">
          <cell r="I20">
            <v>5</v>
          </cell>
        </row>
        <row r="21">
          <cell r="I21">
            <v>5</v>
          </cell>
        </row>
        <row r="22">
          <cell r="I22">
            <v>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5</v>
          </cell>
        </row>
        <row r="26">
          <cell r="I26">
            <v>5</v>
          </cell>
        </row>
        <row r="28">
          <cell r="I28">
            <v>10</v>
          </cell>
        </row>
        <row r="29">
          <cell r="I29">
            <v>5</v>
          </cell>
        </row>
        <row r="30">
          <cell r="I30">
            <v>5</v>
          </cell>
        </row>
        <row r="31">
          <cell r="I31">
            <v>5</v>
          </cell>
        </row>
        <row r="32">
          <cell r="I32">
            <v>5</v>
          </cell>
        </row>
        <row r="33">
          <cell r="I33">
            <v>5</v>
          </cell>
        </row>
        <row r="34">
          <cell r="I34">
            <v>5</v>
          </cell>
        </row>
        <row r="35">
          <cell r="I35">
            <v>5</v>
          </cell>
        </row>
        <row r="36">
          <cell r="I36">
            <v>5</v>
          </cell>
        </row>
        <row r="37">
          <cell r="I37">
            <v>5</v>
          </cell>
        </row>
        <row r="39">
          <cell r="I39">
            <v>10</v>
          </cell>
        </row>
        <row r="40">
          <cell r="I40">
            <v>10</v>
          </cell>
        </row>
        <row r="41">
          <cell r="I41">
            <v>5</v>
          </cell>
        </row>
        <row r="42">
          <cell r="I42">
            <v>5</v>
          </cell>
        </row>
        <row r="43">
          <cell r="I43">
            <v>10</v>
          </cell>
        </row>
        <row r="44">
          <cell r="I44">
            <v>5</v>
          </cell>
        </row>
        <row r="45">
          <cell r="I45">
            <v>5</v>
          </cell>
        </row>
        <row r="46">
          <cell r="I46">
            <v>5</v>
          </cell>
        </row>
        <row r="47">
          <cell r="I47">
            <v>5</v>
          </cell>
        </row>
        <row r="48">
          <cell r="I48">
            <v>5</v>
          </cell>
        </row>
        <row r="49">
          <cell r="I49">
            <v>5</v>
          </cell>
        </row>
        <row r="50">
          <cell r="I50">
            <v>5</v>
          </cell>
        </row>
        <row r="51">
          <cell r="I51">
            <v>5</v>
          </cell>
        </row>
        <row r="52">
          <cell r="I52">
            <v>5</v>
          </cell>
        </row>
        <row r="53">
          <cell r="I53">
            <v>5</v>
          </cell>
        </row>
        <row r="54">
          <cell r="I54">
            <v>5</v>
          </cell>
        </row>
        <row r="55">
          <cell r="I55">
            <v>5</v>
          </cell>
        </row>
        <row r="56">
          <cell r="I56">
            <v>5</v>
          </cell>
        </row>
        <row r="57">
          <cell r="I57">
            <v>5</v>
          </cell>
        </row>
        <row r="58">
          <cell r="I58">
            <v>5</v>
          </cell>
        </row>
        <row r="60">
          <cell r="I60">
            <v>10</v>
          </cell>
        </row>
        <row r="61">
          <cell r="I61">
            <v>10</v>
          </cell>
        </row>
        <row r="62">
          <cell r="I62">
            <v>5</v>
          </cell>
        </row>
        <row r="63">
          <cell r="I63">
            <v>5</v>
          </cell>
        </row>
        <row r="64">
          <cell r="I64">
            <v>5</v>
          </cell>
        </row>
        <row r="65">
          <cell r="I65">
            <v>5</v>
          </cell>
        </row>
        <row r="67">
          <cell r="I67">
            <v>10</v>
          </cell>
        </row>
        <row r="68">
          <cell r="I68">
            <v>5</v>
          </cell>
        </row>
        <row r="69">
          <cell r="I69">
            <v>5</v>
          </cell>
        </row>
        <row r="70">
          <cell r="I70">
            <v>5</v>
          </cell>
        </row>
        <row r="71">
          <cell r="I71">
            <v>5</v>
          </cell>
        </row>
        <row r="72">
          <cell r="I72">
            <v>5</v>
          </cell>
        </row>
        <row r="74">
          <cell r="I74">
            <v>10</v>
          </cell>
        </row>
        <row r="75">
          <cell r="I75">
            <v>5</v>
          </cell>
        </row>
        <row r="76">
          <cell r="I76">
            <v>5</v>
          </cell>
        </row>
        <row r="78">
          <cell r="I78">
            <v>5</v>
          </cell>
        </row>
        <row r="79">
          <cell r="I79">
            <v>5</v>
          </cell>
        </row>
        <row r="80">
          <cell r="I80">
            <v>5</v>
          </cell>
        </row>
        <row r="81">
          <cell r="I81">
            <v>5</v>
          </cell>
        </row>
        <row r="82">
          <cell r="I82">
            <v>5</v>
          </cell>
        </row>
        <row r="83">
          <cell r="I83">
            <v>5</v>
          </cell>
        </row>
        <row r="84">
          <cell r="I84">
            <v>5</v>
          </cell>
        </row>
        <row r="87">
          <cell r="I87">
            <v>5</v>
          </cell>
        </row>
        <row r="88">
          <cell r="I88">
            <v>10</v>
          </cell>
        </row>
        <row r="89">
          <cell r="I89">
            <v>10</v>
          </cell>
        </row>
        <row r="92">
          <cell r="I92">
            <v>10</v>
          </cell>
        </row>
        <row r="93">
          <cell r="I93">
            <v>5</v>
          </cell>
        </row>
        <row r="94">
          <cell r="I94">
            <v>5</v>
          </cell>
        </row>
        <row r="95">
          <cell r="I95">
            <v>5</v>
          </cell>
        </row>
        <row r="96">
          <cell r="I96">
            <v>5</v>
          </cell>
        </row>
        <row r="97">
          <cell r="I97">
            <v>5</v>
          </cell>
        </row>
        <row r="98">
          <cell r="I98">
            <v>5</v>
          </cell>
        </row>
        <row r="99">
          <cell r="I99">
            <v>5</v>
          </cell>
        </row>
        <row r="100">
          <cell r="I100">
            <v>5</v>
          </cell>
        </row>
        <row r="101">
          <cell r="I101">
            <v>5</v>
          </cell>
        </row>
        <row r="102">
          <cell r="I102">
            <v>5</v>
          </cell>
        </row>
        <row r="103">
          <cell r="I103">
            <v>5</v>
          </cell>
        </row>
        <row r="104">
          <cell r="I104">
            <v>5</v>
          </cell>
        </row>
        <row r="105">
          <cell r="I105">
            <v>5</v>
          </cell>
        </row>
        <row r="106">
          <cell r="I106">
            <v>5</v>
          </cell>
        </row>
        <row r="107">
          <cell r="I107">
            <v>5</v>
          </cell>
        </row>
        <row r="110">
          <cell r="I110">
            <v>10</v>
          </cell>
        </row>
        <row r="111">
          <cell r="I111">
            <v>5</v>
          </cell>
        </row>
        <row r="112">
          <cell r="I112">
            <v>5</v>
          </cell>
        </row>
        <row r="114">
          <cell r="I114">
            <v>10</v>
          </cell>
        </row>
        <row r="115">
          <cell r="I115">
            <v>5</v>
          </cell>
        </row>
        <row r="116">
          <cell r="I116">
            <v>5</v>
          </cell>
        </row>
        <row r="117">
          <cell r="I117">
            <v>5</v>
          </cell>
        </row>
        <row r="118">
          <cell r="I118">
            <v>5</v>
          </cell>
        </row>
        <row r="119">
          <cell r="I119">
            <v>5</v>
          </cell>
        </row>
        <row r="120">
          <cell r="I120">
            <v>5</v>
          </cell>
        </row>
        <row r="122">
          <cell r="I122">
            <v>10</v>
          </cell>
        </row>
        <row r="123">
          <cell r="I123">
            <v>5</v>
          </cell>
        </row>
        <row r="124">
          <cell r="I124">
            <v>5</v>
          </cell>
        </row>
        <row r="125">
          <cell r="I125">
            <v>5</v>
          </cell>
        </row>
        <row r="126">
          <cell r="I126">
            <v>5</v>
          </cell>
        </row>
        <row r="127">
          <cell r="I127">
            <v>5</v>
          </cell>
        </row>
        <row r="128">
          <cell r="I128">
            <v>5</v>
          </cell>
        </row>
        <row r="129">
          <cell r="I129">
            <v>5</v>
          </cell>
        </row>
        <row r="130">
          <cell r="I130">
            <v>5</v>
          </cell>
        </row>
        <row r="131">
          <cell r="I131">
            <v>5</v>
          </cell>
        </row>
        <row r="132">
          <cell r="I132">
            <v>5</v>
          </cell>
        </row>
        <row r="133">
          <cell r="I133">
            <v>5</v>
          </cell>
        </row>
        <row r="134">
          <cell r="I134">
            <v>5</v>
          </cell>
        </row>
        <row r="135">
          <cell r="I135">
            <v>5</v>
          </cell>
        </row>
        <row r="136">
          <cell r="I136">
            <v>5</v>
          </cell>
        </row>
        <row r="137">
          <cell r="I1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topLeftCell="A7" zoomScaleNormal="100" workbookViewId="0">
      <selection activeCell="G37" sqref="G37"/>
    </sheetView>
  </sheetViews>
  <sheetFormatPr defaultRowHeight="15" x14ac:dyDescent="0.25"/>
  <cols>
    <col min="1" max="1" width="5.85546875" style="155" customWidth="1"/>
    <col min="2" max="2" width="40.5703125" style="155" customWidth="1"/>
    <col min="3" max="3" width="8.140625" style="155" customWidth="1"/>
    <col min="4" max="4" width="12.42578125" style="155" customWidth="1"/>
    <col min="5" max="5" width="9.28515625" style="155" customWidth="1"/>
    <col min="6" max="6" width="12.42578125" style="155" customWidth="1"/>
    <col min="7" max="7" width="9.140625" style="155"/>
    <col min="9" max="9" width="10.28515625" customWidth="1"/>
  </cols>
  <sheetData>
    <row r="1" spans="1:9" ht="71.25" customHeight="1" thickBot="1" x14ac:dyDescent="0.3">
      <c r="A1" s="616" t="s">
        <v>263</v>
      </c>
      <c r="B1" s="616"/>
      <c r="C1" s="616"/>
      <c r="D1" s="616"/>
      <c r="E1" s="616"/>
      <c r="F1" s="616"/>
      <c r="G1" s="616"/>
    </row>
    <row r="2" spans="1:9" ht="24.75" thickBot="1" x14ac:dyDescent="0.3">
      <c r="A2" s="156" t="s">
        <v>81</v>
      </c>
      <c r="B2" s="156" t="s">
        <v>166</v>
      </c>
      <c r="C2" s="156" t="s">
        <v>167</v>
      </c>
      <c r="D2" s="157" t="s">
        <v>168</v>
      </c>
      <c r="E2" s="158"/>
      <c r="F2" s="158"/>
    </row>
    <row r="3" spans="1:9" ht="15.75" x14ac:dyDescent="0.25">
      <c r="A3" s="227">
        <v>1</v>
      </c>
      <c r="B3" s="228" t="s">
        <v>238</v>
      </c>
      <c r="C3" s="160" t="s">
        <v>277</v>
      </c>
      <c r="D3" s="229">
        <v>3478979</v>
      </c>
      <c r="E3" s="158"/>
      <c r="F3" s="158"/>
    </row>
    <row r="4" spans="1:9" ht="25.5" customHeight="1" x14ac:dyDescent="0.25">
      <c r="A4" s="230" t="s">
        <v>242</v>
      </c>
      <c r="B4" s="159" t="s">
        <v>237</v>
      </c>
      <c r="C4" s="166" t="s">
        <v>277</v>
      </c>
      <c r="D4" s="161">
        <v>285810</v>
      </c>
      <c r="E4" s="162"/>
      <c r="G4" s="164"/>
      <c r="H4" s="26"/>
    </row>
    <row r="5" spans="1:9" ht="19.5" customHeight="1" x14ac:dyDescent="0.25">
      <c r="A5" s="231" t="s">
        <v>193</v>
      </c>
      <c r="B5" s="165" t="s">
        <v>169</v>
      </c>
      <c r="C5" s="170" t="s">
        <v>277</v>
      </c>
      <c r="D5" s="235" t="s">
        <v>14</v>
      </c>
      <c r="E5" s="167"/>
      <c r="F5" s="168"/>
      <c r="G5" s="168"/>
    </row>
    <row r="6" spans="1:9" ht="19.5" customHeight="1" x14ac:dyDescent="0.25">
      <c r="A6" s="231" t="s">
        <v>195</v>
      </c>
      <c r="B6" s="165" t="s">
        <v>170</v>
      </c>
      <c r="C6" s="170" t="s">
        <v>277</v>
      </c>
      <c r="D6" s="235" t="s">
        <v>14</v>
      </c>
      <c r="E6" s="162"/>
      <c r="F6" s="168"/>
      <c r="G6" s="168"/>
      <c r="I6" s="27"/>
    </row>
    <row r="7" spans="1:9" ht="19.5" customHeight="1" thickBot="1" x14ac:dyDescent="0.3">
      <c r="A7" s="172" t="s">
        <v>197</v>
      </c>
      <c r="B7" s="173" t="s">
        <v>171</v>
      </c>
      <c r="C7" s="174" t="s">
        <v>277</v>
      </c>
      <c r="D7" s="175">
        <v>285810</v>
      </c>
      <c r="E7" s="162"/>
      <c r="F7" s="168"/>
      <c r="G7" s="168"/>
      <c r="I7" s="27"/>
    </row>
    <row r="8" spans="1:9" ht="15.75" thickBot="1" x14ac:dyDescent="0.3">
      <c r="A8" s="176"/>
      <c r="B8" s="177"/>
      <c r="C8" s="178"/>
      <c r="D8" s="171"/>
      <c r="E8" s="178"/>
      <c r="F8" s="163"/>
    </row>
    <row r="9" spans="1:9" ht="25.5" x14ac:dyDescent="0.25">
      <c r="A9" s="179" t="s">
        <v>81</v>
      </c>
      <c r="B9" s="180" t="s">
        <v>166</v>
      </c>
      <c r="C9" s="180" t="s">
        <v>167</v>
      </c>
      <c r="D9" s="180" t="s">
        <v>172</v>
      </c>
      <c r="E9" s="180" t="s">
        <v>278</v>
      </c>
      <c r="F9" s="181" t="s">
        <v>173</v>
      </c>
    </row>
    <row r="10" spans="1:9" ht="19.5" customHeight="1" x14ac:dyDescent="0.25">
      <c r="A10" s="182" t="s">
        <v>93</v>
      </c>
      <c r="B10" s="183" t="s">
        <v>174</v>
      </c>
      <c r="C10" s="184" t="s">
        <v>175</v>
      </c>
      <c r="D10" s="185" t="e">
        <f>D11+D20</f>
        <v>#REF!</v>
      </c>
      <c r="E10" s="186" t="e">
        <f>D10/$D$4</f>
        <v>#REF!</v>
      </c>
      <c r="F10" s="226" t="e">
        <f>D10*100/$D$35</f>
        <v>#REF!</v>
      </c>
    </row>
    <row r="11" spans="1:9" ht="19.5" customHeight="1" x14ac:dyDescent="0.25">
      <c r="A11" s="187" t="s">
        <v>176</v>
      </c>
      <c r="B11" s="188" t="s">
        <v>177</v>
      </c>
      <c r="C11" s="189" t="s">
        <v>175</v>
      </c>
      <c r="D11" s="190" t="e">
        <f>D12+D15+D16</f>
        <v>#REF!</v>
      </c>
      <c r="E11" s="186" t="e">
        <f t="shared" ref="E11:E35" si="0">D11/$D$4</f>
        <v>#REF!</v>
      </c>
      <c r="F11" s="226" t="e">
        <f t="shared" ref="F11:F35" si="1">D11*100/$D$35</f>
        <v>#REF!</v>
      </c>
    </row>
    <row r="12" spans="1:9" ht="19.5" customHeight="1" x14ac:dyDescent="0.25">
      <c r="A12" s="191" t="s">
        <v>178</v>
      </c>
      <c r="B12" s="188" t="s">
        <v>179</v>
      </c>
      <c r="C12" s="189" t="s">
        <v>175</v>
      </c>
      <c r="D12" s="190" t="e">
        <f>SUM(D13:D14)</f>
        <v>#REF!</v>
      </c>
      <c r="E12" s="186" t="e">
        <f t="shared" si="0"/>
        <v>#REF!</v>
      </c>
      <c r="F12" s="226" t="e">
        <f t="shared" si="1"/>
        <v>#REF!</v>
      </c>
    </row>
    <row r="13" spans="1:9" ht="19.5" customHeight="1" x14ac:dyDescent="0.25">
      <c r="A13" s="192" t="s">
        <v>180</v>
      </c>
      <c r="B13" s="193" t="s">
        <v>181</v>
      </c>
      <c r="C13" s="194" t="s">
        <v>175</v>
      </c>
      <c r="D13" s="194" t="e">
        <f>#REF!+#REF!</f>
        <v>#REF!</v>
      </c>
      <c r="E13" s="186" t="e">
        <f t="shared" si="0"/>
        <v>#REF!</v>
      </c>
      <c r="F13" s="226" t="e">
        <f t="shared" si="1"/>
        <v>#REF!</v>
      </c>
    </row>
    <row r="14" spans="1:9" ht="19.5" customHeight="1" x14ac:dyDescent="0.25">
      <c r="A14" s="192" t="s">
        <v>182</v>
      </c>
      <c r="B14" s="193" t="s">
        <v>225</v>
      </c>
      <c r="C14" s="194" t="s">
        <v>175</v>
      </c>
      <c r="D14" s="194">
        <v>0</v>
      </c>
      <c r="E14" s="186">
        <f t="shared" si="0"/>
        <v>0</v>
      </c>
      <c r="F14" s="226" t="e">
        <f t="shared" si="1"/>
        <v>#REF!</v>
      </c>
    </row>
    <row r="15" spans="1:9" ht="19.5" customHeight="1" x14ac:dyDescent="0.25">
      <c r="A15" s="191" t="s">
        <v>183</v>
      </c>
      <c r="B15" s="195" t="s">
        <v>184</v>
      </c>
      <c r="C15" s="194" t="s">
        <v>175</v>
      </c>
      <c r="D15" s="185" t="e">
        <f>#REF!</f>
        <v>#REF!</v>
      </c>
      <c r="E15" s="186" t="e">
        <f t="shared" si="0"/>
        <v>#REF!</v>
      </c>
      <c r="F15" s="226" t="e">
        <f t="shared" si="1"/>
        <v>#REF!</v>
      </c>
    </row>
    <row r="16" spans="1:9" ht="19.5" customHeight="1" x14ac:dyDescent="0.25">
      <c r="A16" s="191" t="s">
        <v>185</v>
      </c>
      <c r="B16" s="195" t="s">
        <v>186</v>
      </c>
      <c r="C16" s="194" t="s">
        <v>175</v>
      </c>
      <c r="D16" s="185" t="e">
        <f>SUM(D17:D19)</f>
        <v>#REF!</v>
      </c>
      <c r="E16" s="186" t="e">
        <f t="shared" si="0"/>
        <v>#REF!</v>
      </c>
      <c r="F16" s="226" t="e">
        <f t="shared" si="1"/>
        <v>#REF!</v>
      </c>
    </row>
    <row r="17" spans="1:6" ht="19.5" customHeight="1" x14ac:dyDescent="0.25">
      <c r="A17" s="192" t="s">
        <v>187</v>
      </c>
      <c r="B17" s="193" t="s">
        <v>188</v>
      </c>
      <c r="C17" s="194" t="s">
        <v>175</v>
      </c>
      <c r="D17" s="184" t="e">
        <f>#REF!</f>
        <v>#REF!</v>
      </c>
      <c r="E17" s="186" t="e">
        <f t="shared" si="0"/>
        <v>#REF!</v>
      </c>
      <c r="F17" s="226" t="e">
        <f t="shared" si="1"/>
        <v>#REF!</v>
      </c>
    </row>
    <row r="18" spans="1:6" ht="19.5" customHeight="1" x14ac:dyDescent="0.25">
      <c r="A18" s="192" t="s">
        <v>189</v>
      </c>
      <c r="B18" s="193" t="s">
        <v>226</v>
      </c>
      <c r="C18" s="194" t="s">
        <v>175</v>
      </c>
      <c r="D18" s="194">
        <v>5480.7771986947464</v>
      </c>
      <c r="E18" s="186">
        <f t="shared" si="0"/>
        <v>1.9176296136225977E-2</v>
      </c>
      <c r="F18" s="226" t="e">
        <f t="shared" si="1"/>
        <v>#REF!</v>
      </c>
    </row>
    <row r="19" spans="1:6" ht="19.5" customHeight="1" x14ac:dyDescent="0.25">
      <c r="A19" s="192" t="s">
        <v>190</v>
      </c>
      <c r="B19" s="193" t="s">
        <v>227</v>
      </c>
      <c r="C19" s="197" t="s">
        <v>175</v>
      </c>
      <c r="D19" s="194">
        <v>0</v>
      </c>
      <c r="E19" s="186">
        <f t="shared" si="0"/>
        <v>0</v>
      </c>
      <c r="F19" s="226" t="e">
        <f t="shared" si="1"/>
        <v>#REF!</v>
      </c>
    </row>
    <row r="20" spans="1:6" ht="19.5" customHeight="1" x14ac:dyDescent="0.25">
      <c r="A20" s="191" t="s">
        <v>191</v>
      </c>
      <c r="B20" s="195" t="s">
        <v>192</v>
      </c>
      <c r="C20" s="194" t="s">
        <v>175</v>
      </c>
      <c r="D20" s="196" t="e">
        <f>SUM(D21:D31)</f>
        <v>#REF!</v>
      </c>
      <c r="E20" s="186" t="e">
        <f t="shared" si="0"/>
        <v>#REF!</v>
      </c>
      <c r="F20" s="226" t="e">
        <f t="shared" si="1"/>
        <v>#REF!</v>
      </c>
    </row>
    <row r="21" spans="1:6" ht="19.5" customHeight="1" x14ac:dyDescent="0.25">
      <c r="A21" s="192" t="s">
        <v>193</v>
      </c>
      <c r="B21" s="193" t="s">
        <v>194</v>
      </c>
      <c r="C21" s="194" t="s">
        <v>175</v>
      </c>
      <c r="D21" s="194" t="e">
        <f>#REF!</f>
        <v>#REF!</v>
      </c>
      <c r="E21" s="186" t="e">
        <f t="shared" si="0"/>
        <v>#REF!</v>
      </c>
      <c r="F21" s="226" t="e">
        <f t="shared" si="1"/>
        <v>#REF!</v>
      </c>
    </row>
    <row r="22" spans="1:6" ht="19.5" customHeight="1" x14ac:dyDescent="0.25">
      <c r="A22" s="192" t="s">
        <v>195</v>
      </c>
      <c r="B22" s="193" t="s">
        <v>196</v>
      </c>
      <c r="C22" s="194" t="s">
        <v>175</v>
      </c>
      <c r="D22" s="194" t="e">
        <f>#REF!</f>
        <v>#REF!</v>
      </c>
      <c r="E22" s="186" t="e">
        <f t="shared" si="0"/>
        <v>#REF!</v>
      </c>
      <c r="F22" s="226" t="e">
        <f t="shared" si="1"/>
        <v>#REF!</v>
      </c>
    </row>
    <row r="23" spans="1:6" ht="19.5" customHeight="1" x14ac:dyDescent="0.25">
      <c r="A23" s="192" t="s">
        <v>197</v>
      </c>
      <c r="B23" s="193" t="s">
        <v>239</v>
      </c>
      <c r="C23" s="197" t="s">
        <v>175</v>
      </c>
      <c r="D23" s="194">
        <v>810.00725843887437</v>
      </c>
      <c r="E23" s="186">
        <f t="shared" si="0"/>
        <v>2.8340759890797184E-3</v>
      </c>
      <c r="F23" s="226" t="e">
        <f t="shared" si="1"/>
        <v>#REF!</v>
      </c>
    </row>
    <row r="24" spans="1:6" ht="19.5" customHeight="1" x14ac:dyDescent="0.25">
      <c r="A24" s="192" t="s">
        <v>198</v>
      </c>
      <c r="B24" s="193" t="s">
        <v>226</v>
      </c>
      <c r="C24" s="194" t="s">
        <v>175</v>
      </c>
      <c r="D24" s="194">
        <v>30910.222581315076</v>
      </c>
      <c r="E24" s="186">
        <f t="shared" si="0"/>
        <v>0.1081495489357093</v>
      </c>
      <c r="F24" s="226" t="e">
        <f t="shared" si="1"/>
        <v>#REF!</v>
      </c>
    </row>
    <row r="25" spans="1:6" ht="19.5" customHeight="1" x14ac:dyDescent="0.25">
      <c r="A25" s="192" t="s">
        <v>199</v>
      </c>
      <c r="B25" s="193" t="s">
        <v>240</v>
      </c>
      <c r="C25" s="194" t="s">
        <v>175</v>
      </c>
      <c r="D25" s="194">
        <v>1657.3009177922713</v>
      </c>
      <c r="E25" s="186">
        <f t="shared" si="0"/>
        <v>5.7986106776959211E-3</v>
      </c>
      <c r="F25" s="226" t="e">
        <f t="shared" si="1"/>
        <v>#REF!</v>
      </c>
    </row>
    <row r="26" spans="1:6" ht="26.25" customHeight="1" x14ac:dyDescent="0.25">
      <c r="A26" s="192" t="s">
        <v>200</v>
      </c>
      <c r="B26" s="193" t="s">
        <v>244</v>
      </c>
      <c r="C26" s="194" t="s">
        <v>175</v>
      </c>
      <c r="D26" s="194">
        <v>41316.221328079417</v>
      </c>
      <c r="E26" s="186">
        <f t="shared" si="0"/>
        <v>0.14455834760183134</v>
      </c>
      <c r="F26" s="226" t="e">
        <f t="shared" si="1"/>
        <v>#REF!</v>
      </c>
    </row>
    <row r="27" spans="1:6" ht="27.75" customHeight="1" x14ac:dyDescent="0.25">
      <c r="A27" s="192" t="s">
        <v>201</v>
      </c>
      <c r="B27" s="193" t="s">
        <v>245</v>
      </c>
      <c r="C27" s="194" t="s">
        <v>175</v>
      </c>
      <c r="D27" s="194">
        <v>3281.3372007787948</v>
      </c>
      <c r="E27" s="186">
        <f t="shared" si="0"/>
        <v>1.1480834123294478E-2</v>
      </c>
      <c r="F27" s="226" t="e">
        <f t="shared" si="1"/>
        <v>#REF!</v>
      </c>
    </row>
    <row r="28" spans="1:6" ht="19.5" customHeight="1" x14ac:dyDescent="0.25">
      <c r="A28" s="192" t="s">
        <v>202</v>
      </c>
      <c r="B28" s="193" t="s">
        <v>241</v>
      </c>
      <c r="C28" s="194" t="s">
        <v>175</v>
      </c>
      <c r="D28" s="194">
        <v>51136.116717186254</v>
      </c>
      <c r="E28" s="186">
        <f t="shared" si="0"/>
        <v>0.17891647149220199</v>
      </c>
      <c r="F28" s="226" t="e">
        <f t="shared" si="1"/>
        <v>#REF!</v>
      </c>
    </row>
    <row r="29" spans="1:6" ht="25.5" customHeight="1" x14ac:dyDescent="0.25">
      <c r="A29" s="192" t="s">
        <v>203</v>
      </c>
      <c r="B29" s="193" t="s">
        <v>243</v>
      </c>
      <c r="C29" s="194" t="s">
        <v>175</v>
      </c>
      <c r="D29" s="194">
        <v>3395.0303996694724</v>
      </c>
      <c r="E29" s="186">
        <f t="shared" si="0"/>
        <v>1.1878627058778462E-2</v>
      </c>
      <c r="F29" s="226" t="e">
        <f t="shared" si="1"/>
        <v>#REF!</v>
      </c>
    </row>
    <row r="30" spans="1:6" ht="27" customHeight="1" x14ac:dyDescent="0.25">
      <c r="A30" s="192" t="s">
        <v>204</v>
      </c>
      <c r="B30" s="193" t="s">
        <v>246</v>
      </c>
      <c r="C30" s="194" t="s">
        <v>175</v>
      </c>
      <c r="D30" s="194">
        <v>373.45227028025772</v>
      </c>
      <c r="E30" s="186">
        <f t="shared" si="0"/>
        <v>1.3066452198322582E-3</v>
      </c>
      <c r="F30" s="226" t="e">
        <f t="shared" si="1"/>
        <v>#REF!</v>
      </c>
    </row>
    <row r="31" spans="1:6" ht="19.5" customHeight="1" x14ac:dyDescent="0.25">
      <c r="A31" s="192" t="s">
        <v>230</v>
      </c>
      <c r="B31" s="193" t="s">
        <v>229</v>
      </c>
      <c r="C31" s="194" t="s">
        <v>175</v>
      </c>
      <c r="D31" s="194">
        <v>499.62483629755417</v>
      </c>
      <c r="E31" s="186">
        <f t="shared" si="0"/>
        <v>1.7481013131015505E-3</v>
      </c>
      <c r="F31" s="226" t="e">
        <f t="shared" si="1"/>
        <v>#REF!</v>
      </c>
    </row>
    <row r="32" spans="1:6" ht="19.5" customHeight="1" x14ac:dyDescent="0.25">
      <c r="A32" s="182" t="s">
        <v>22</v>
      </c>
      <c r="B32" s="195" t="s">
        <v>205</v>
      </c>
      <c r="C32" s="194" t="s">
        <v>175</v>
      </c>
      <c r="D32" s="196" t="e">
        <f>#REF!</f>
        <v>#REF!</v>
      </c>
      <c r="E32" s="186" t="e">
        <f t="shared" si="0"/>
        <v>#REF!</v>
      </c>
      <c r="F32" s="226" t="e">
        <f t="shared" si="1"/>
        <v>#REF!</v>
      </c>
    </row>
    <row r="33" spans="1:42" ht="19.5" customHeight="1" x14ac:dyDescent="0.25">
      <c r="A33" s="182" t="s">
        <v>70</v>
      </c>
      <c r="B33" s="195" t="s">
        <v>224</v>
      </c>
      <c r="C33" s="194" t="s">
        <v>175</v>
      </c>
      <c r="D33" s="196" t="e">
        <f>#REF!</f>
        <v>#REF!</v>
      </c>
      <c r="E33" s="186" t="e">
        <f t="shared" si="0"/>
        <v>#REF!</v>
      </c>
      <c r="F33" s="226" t="e">
        <f t="shared" si="1"/>
        <v>#REF!</v>
      </c>
    </row>
    <row r="34" spans="1:42" ht="19.5" customHeight="1" x14ac:dyDescent="0.25">
      <c r="A34" s="182" t="s">
        <v>69</v>
      </c>
      <c r="B34" s="195" t="s">
        <v>232</v>
      </c>
      <c r="C34" s="194" t="s">
        <v>175</v>
      </c>
      <c r="D34" s="196">
        <v>1860.1684318528221</v>
      </c>
      <c r="E34" s="186">
        <f t="shared" si="0"/>
        <v>6.5084091944047516E-3</v>
      </c>
      <c r="F34" s="226" t="e">
        <f t="shared" si="1"/>
        <v>#REF!</v>
      </c>
    </row>
    <row r="35" spans="1:42" ht="19.5" customHeight="1" x14ac:dyDescent="0.25">
      <c r="A35" s="182" t="s">
        <v>28</v>
      </c>
      <c r="B35" s="188" t="s">
        <v>206</v>
      </c>
      <c r="C35" s="189" t="s">
        <v>175</v>
      </c>
      <c r="D35" s="185" t="e">
        <f>D10+D32+D33+D34</f>
        <v>#REF!</v>
      </c>
      <c r="E35" s="186" t="e">
        <f t="shared" si="0"/>
        <v>#REF!</v>
      </c>
      <c r="F35" s="226" t="e">
        <f t="shared" si="1"/>
        <v>#REF!</v>
      </c>
    </row>
    <row r="36" spans="1:42" ht="19.5" customHeight="1" x14ac:dyDescent="0.25">
      <c r="A36" s="198"/>
      <c r="B36" s="199" t="s">
        <v>236</v>
      </c>
      <c r="C36" s="184" t="s">
        <v>279</v>
      </c>
      <c r="D36" s="200">
        <v>285810</v>
      </c>
      <c r="E36" s="201"/>
      <c r="F36" s="202"/>
    </row>
    <row r="37" spans="1:42" ht="19.5" customHeight="1" thickBot="1" x14ac:dyDescent="0.3">
      <c r="A37" s="203" t="s">
        <v>208</v>
      </c>
      <c r="B37" s="204" t="s">
        <v>207</v>
      </c>
      <c r="C37" s="205" t="s">
        <v>279</v>
      </c>
      <c r="D37" s="206" t="e">
        <f>E35</f>
        <v>#REF!</v>
      </c>
      <c r="E37" s="207"/>
      <c r="F37" s="208"/>
    </row>
    <row r="38" spans="1:42" ht="19.5" customHeight="1" x14ac:dyDescent="0.25">
      <c r="A38" s="209" t="s">
        <v>210</v>
      </c>
      <c r="B38" s="210" t="s">
        <v>209</v>
      </c>
      <c r="C38" s="211" t="s">
        <v>175</v>
      </c>
      <c r="D38" s="212">
        <v>0</v>
      </c>
      <c r="E38" s="213"/>
    </row>
    <row r="39" spans="1:42" ht="19.5" customHeight="1" x14ac:dyDescent="0.25">
      <c r="A39" s="214" t="s">
        <v>212</v>
      </c>
      <c r="B39" s="215" t="s">
        <v>211</v>
      </c>
      <c r="C39" s="216" t="s">
        <v>175</v>
      </c>
      <c r="D39" s="217" t="e">
        <f>D35</f>
        <v>#REF!</v>
      </c>
      <c r="E39" s="218"/>
    </row>
    <row r="40" spans="1:42" ht="19.5" customHeight="1" thickBot="1" x14ac:dyDescent="0.3">
      <c r="A40" s="219" t="s">
        <v>214</v>
      </c>
      <c r="B40" s="215" t="s">
        <v>213</v>
      </c>
      <c r="C40" s="216" t="s">
        <v>175</v>
      </c>
      <c r="D40" s="212" t="e">
        <f>D39*20/100</f>
        <v>#REF!</v>
      </c>
      <c r="E40" s="213"/>
    </row>
    <row r="41" spans="1:42" ht="19.5" customHeight="1" thickBot="1" x14ac:dyDescent="0.3">
      <c r="A41" s="219" t="s">
        <v>215</v>
      </c>
      <c r="B41" s="220" t="s">
        <v>39</v>
      </c>
      <c r="C41" s="221" t="s">
        <v>175</v>
      </c>
      <c r="D41" s="222" t="e">
        <f>D39+D40</f>
        <v>#REF!</v>
      </c>
      <c r="E41" s="223"/>
      <c r="F41" s="552"/>
    </row>
    <row r="42" spans="1:42" ht="19.5" customHeight="1" thickBot="1" x14ac:dyDescent="0.3">
      <c r="A42" s="219" t="s">
        <v>231</v>
      </c>
      <c r="B42" s="224" t="s">
        <v>280</v>
      </c>
      <c r="C42" s="225" t="s">
        <v>175</v>
      </c>
      <c r="D42" s="614" t="e">
        <f>D41/D4</f>
        <v>#REF!</v>
      </c>
      <c r="E42" s="615"/>
      <c r="F42" s="169"/>
    </row>
    <row r="43" spans="1:42" x14ac:dyDescent="0.25">
      <c r="A43" s="232"/>
      <c r="B43" s="233"/>
      <c r="C43" s="171"/>
      <c r="D43" s="171"/>
      <c r="E43" s="234"/>
    </row>
    <row r="44" spans="1:42" ht="16.5" x14ac:dyDescent="0.25">
      <c r="B44" s="28"/>
      <c r="C44" s="28"/>
      <c r="E44" s="28"/>
    </row>
    <row r="45" spans="1:42" s="10" customFormat="1" ht="21" customHeight="1" x14ac:dyDescent="0.3">
      <c r="A45" s="5"/>
      <c r="B45" s="25" t="s">
        <v>228</v>
      </c>
      <c r="C45" s="19"/>
      <c r="D45" s="139" t="s">
        <v>271</v>
      </c>
      <c r="E45" s="4"/>
      <c r="F45" s="19"/>
      <c r="G45" s="19"/>
      <c r="H45" s="19"/>
      <c r="J45" s="19"/>
      <c r="K45" s="1"/>
      <c r="L45" s="4"/>
      <c r="M45" s="4"/>
      <c r="N45" s="4"/>
      <c r="O45" s="4"/>
      <c r="P45" s="1"/>
      <c r="Q45" s="1"/>
      <c r="R45" s="4"/>
      <c r="S45" s="20"/>
      <c r="T45" s="20"/>
      <c r="U45" s="19"/>
      <c r="V45" s="21"/>
      <c r="W45" s="21"/>
      <c r="X45" s="21"/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7"/>
      <c r="AL45" s="7"/>
      <c r="AM45" s="7"/>
      <c r="AN45" s="6"/>
      <c r="AO45" s="19"/>
      <c r="AP45" s="20"/>
    </row>
    <row r="46" spans="1:42" x14ac:dyDescent="0.25">
      <c r="C46" s="169"/>
    </row>
  </sheetData>
  <mergeCells count="2">
    <mergeCell ref="D42:E42"/>
    <mergeCell ref="A1:G1"/>
  </mergeCells>
  <pageMargins left="1.1811023622047245" right="0.59055118110236227" top="0.74803149606299213" bottom="0.74803149606299213" header="0.31496062992125984" footer="0.31496062992125984"/>
  <pageSetup paperSize="9" scale="93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177"/>
  <sheetViews>
    <sheetView tabSelected="1" view="pageBreakPreview" zoomScaleNormal="100" zoomScaleSheetLayoutView="100" workbookViewId="0">
      <selection activeCell="B191" sqref="B191"/>
    </sheetView>
  </sheetViews>
  <sheetFormatPr defaultColWidth="9.140625" defaultRowHeight="15" x14ac:dyDescent="0.25"/>
  <cols>
    <col min="1" max="1" width="5.85546875" style="564" customWidth="1"/>
    <col min="2" max="2" width="41.5703125" style="565" customWidth="1"/>
    <col min="3" max="3" width="9.28515625" style="564" customWidth="1"/>
    <col min="4" max="4" width="9" style="564" customWidth="1"/>
    <col min="5" max="5" width="10" style="564" customWidth="1"/>
    <col min="6" max="6" width="8.7109375" style="564" customWidth="1"/>
    <col min="7" max="7" width="13.85546875" style="564" customWidth="1"/>
    <col min="8" max="8" width="19.7109375" style="564" customWidth="1"/>
    <col min="9" max="9" width="6" style="564" customWidth="1"/>
    <col min="10" max="10" width="16.140625" style="564" customWidth="1"/>
    <col min="11" max="11" width="16.42578125" style="564" customWidth="1"/>
    <col min="12" max="12" width="16.140625" style="564" customWidth="1"/>
    <col min="13" max="13" width="15.7109375" style="564" customWidth="1"/>
    <col min="14" max="14" width="20.140625" style="564" customWidth="1"/>
    <col min="15" max="15" width="21.42578125" style="555" customWidth="1"/>
    <col min="16" max="16" width="31.140625" style="559" hidden="1" customWidth="1"/>
    <col min="17" max="17" width="12.42578125" style="561" hidden="1" customWidth="1"/>
    <col min="18" max="18" width="15.5703125" style="561" hidden="1" customWidth="1"/>
    <col min="19" max="19" width="11.140625" style="561" hidden="1" customWidth="1"/>
    <col min="20" max="24" width="9.140625" style="561" hidden="1" customWidth="1"/>
    <col min="25" max="25" width="11.5703125" style="561" hidden="1" customWidth="1"/>
    <col min="26" max="26" width="9.140625" style="561" hidden="1" customWidth="1"/>
    <col min="27" max="27" width="10.7109375" style="561" hidden="1" customWidth="1"/>
    <col min="28" max="31" width="8.85546875" style="556" customWidth="1"/>
    <col min="32" max="16384" width="9.140625" style="554"/>
  </cols>
  <sheetData>
    <row r="1" spans="1:27" s="556" customFormat="1" ht="9" customHeight="1" x14ac:dyDescent="0.25">
      <c r="A1" s="630"/>
      <c r="B1" s="630"/>
      <c r="C1" s="630"/>
      <c r="D1" s="630"/>
      <c r="E1" s="581"/>
      <c r="F1" s="581"/>
      <c r="G1" s="581"/>
      <c r="H1" s="581"/>
      <c r="I1" s="581"/>
      <c r="J1" s="583"/>
      <c r="K1" s="628"/>
      <c r="L1" s="628"/>
      <c r="M1" s="628"/>
      <c r="N1" s="628"/>
      <c r="O1" s="628"/>
      <c r="P1" s="687" t="s">
        <v>281</v>
      </c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625"/>
    </row>
    <row r="2" spans="1:27" s="556" customFormat="1" ht="12.75" customHeight="1" x14ac:dyDescent="0.25">
      <c r="A2" s="630"/>
      <c r="B2" s="630"/>
      <c r="C2" s="630"/>
      <c r="D2" s="630"/>
      <c r="E2" s="581"/>
      <c r="F2" s="581"/>
      <c r="G2" s="581"/>
      <c r="H2" s="581"/>
      <c r="I2" s="581"/>
      <c r="J2" s="583"/>
      <c r="K2" s="628"/>
      <c r="L2" s="628"/>
      <c r="M2" s="628"/>
      <c r="N2" s="628"/>
      <c r="O2" s="628"/>
      <c r="P2" s="687" t="s">
        <v>356</v>
      </c>
      <c r="Q2" s="687"/>
      <c r="R2" s="687"/>
      <c r="S2" s="687"/>
      <c r="T2" s="687"/>
      <c r="U2" s="687"/>
      <c r="V2" s="687"/>
      <c r="W2" s="687"/>
      <c r="X2" s="625"/>
      <c r="Y2" s="574">
        <v>2481</v>
      </c>
      <c r="Z2" s="574" t="s">
        <v>270</v>
      </c>
      <c r="AA2" s="574"/>
    </row>
    <row r="3" spans="1:27" s="556" customFormat="1" ht="8.25" customHeight="1" x14ac:dyDescent="0.25">
      <c r="A3" s="630"/>
      <c r="B3" s="630"/>
      <c r="C3" s="630"/>
      <c r="D3" s="630"/>
      <c r="E3" s="581"/>
      <c r="F3" s="581"/>
      <c r="G3" s="581"/>
      <c r="H3" s="581"/>
      <c r="I3" s="581"/>
      <c r="J3" s="583"/>
      <c r="K3" s="628"/>
      <c r="L3" s="628"/>
      <c r="M3" s="628"/>
      <c r="N3" s="628"/>
      <c r="O3" s="628"/>
      <c r="P3" s="687" t="s">
        <v>282</v>
      </c>
      <c r="Q3" s="687"/>
      <c r="R3" s="687"/>
      <c r="S3" s="687"/>
      <c r="T3" s="687"/>
      <c r="U3" s="687"/>
      <c r="V3" s="687"/>
      <c r="W3" s="687"/>
      <c r="X3" s="625"/>
      <c r="Y3" s="574">
        <v>1.58</v>
      </c>
      <c r="Z3" s="574">
        <v>1.58</v>
      </c>
      <c r="AA3" s="574"/>
    </row>
    <row r="4" spans="1:27" s="556" customFormat="1" ht="6.75" customHeight="1" x14ac:dyDescent="0.25">
      <c r="A4" s="630"/>
      <c r="B4" s="630"/>
      <c r="C4" s="630"/>
      <c r="D4" s="630"/>
      <c r="E4" s="578"/>
      <c r="F4" s="578"/>
      <c r="G4" s="578"/>
      <c r="H4" s="578"/>
      <c r="I4" s="578"/>
      <c r="J4" s="583"/>
      <c r="K4" s="628"/>
      <c r="L4" s="628"/>
      <c r="M4" s="628"/>
      <c r="N4" s="628"/>
      <c r="O4" s="628"/>
      <c r="P4" s="687" t="s">
        <v>283</v>
      </c>
      <c r="Q4" s="687"/>
      <c r="R4" s="687"/>
      <c r="S4" s="687"/>
      <c r="T4" s="687"/>
      <c r="U4" s="687"/>
      <c r="V4" s="687"/>
      <c r="W4" s="687"/>
      <c r="X4" s="625"/>
      <c r="Y4" s="557">
        <v>1.4</v>
      </c>
      <c r="Z4" s="557">
        <v>1.6</v>
      </c>
      <c r="AA4" s="557">
        <v>1.8</v>
      </c>
    </row>
    <row r="5" spans="1:27" s="556" customFormat="1" ht="7.5" customHeight="1" x14ac:dyDescent="0.3">
      <c r="A5" s="630"/>
      <c r="B5" s="630"/>
      <c r="C5" s="630"/>
      <c r="D5" s="630"/>
      <c r="E5" s="578"/>
      <c r="F5" s="578"/>
      <c r="G5" s="578"/>
      <c r="H5" s="578"/>
      <c r="I5" s="578"/>
      <c r="J5" s="583"/>
      <c r="K5" s="629"/>
      <c r="L5" s="629"/>
      <c r="M5" s="629"/>
      <c r="N5" s="629"/>
      <c r="O5" s="629"/>
      <c r="P5" s="687" t="s">
        <v>284</v>
      </c>
      <c r="Q5" s="687"/>
      <c r="R5" s="625"/>
      <c r="S5" s="574">
        <v>1977</v>
      </c>
      <c r="T5" s="558"/>
      <c r="U5" s="558"/>
      <c r="V5" s="558"/>
      <c r="W5" s="558"/>
      <c r="X5" s="558"/>
      <c r="Y5" s="575">
        <f>$S$5/12</f>
        <v>164.75</v>
      </c>
      <c r="Z5" s="574" t="s">
        <v>285</v>
      </c>
      <c r="AA5" s="574"/>
    </row>
    <row r="6" spans="1:27" s="556" customFormat="1" ht="11.25" customHeight="1" x14ac:dyDescent="0.25">
      <c r="A6" s="582"/>
      <c r="B6" s="582"/>
      <c r="C6" s="582"/>
      <c r="D6" s="582"/>
      <c r="E6" s="582"/>
      <c r="F6" s="582"/>
      <c r="G6" s="582"/>
      <c r="H6" s="582"/>
      <c r="I6" s="582"/>
      <c r="J6" s="583"/>
      <c r="K6" s="628"/>
      <c r="L6" s="628"/>
      <c r="M6" s="628"/>
      <c r="N6" s="628"/>
      <c r="O6" s="628"/>
      <c r="P6" s="610" t="s">
        <v>286</v>
      </c>
      <c r="Q6" s="574"/>
      <c r="R6" s="574"/>
      <c r="S6" s="574"/>
      <c r="T6" s="574"/>
      <c r="U6" s="574"/>
      <c r="V6" s="574"/>
      <c r="W6" s="574"/>
      <c r="X6" s="574"/>
      <c r="Y6" s="608"/>
      <c r="Z6" s="574"/>
      <c r="AA6" s="574"/>
    </row>
    <row r="7" spans="1:27" s="556" customFormat="1" ht="25.5" customHeight="1" x14ac:dyDescent="0.25">
      <c r="A7" s="631" t="s">
        <v>383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560"/>
      <c r="Q7" s="578"/>
      <c r="R7" s="578"/>
      <c r="S7" s="578"/>
      <c r="T7" s="578"/>
      <c r="U7" s="578"/>
      <c r="V7" s="578"/>
      <c r="W7" s="578"/>
      <c r="X7" s="578"/>
      <c r="Y7" s="570"/>
      <c r="Z7" s="578"/>
      <c r="AA7" s="578"/>
    </row>
    <row r="8" spans="1:27" s="556" customFormat="1" ht="25.5" customHeight="1" x14ac:dyDescent="0.25">
      <c r="A8" s="631" t="s">
        <v>382</v>
      </c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560"/>
      <c r="Q8" s="578"/>
      <c r="R8" s="578"/>
      <c r="S8" s="578"/>
      <c r="T8" s="578"/>
      <c r="U8" s="578"/>
      <c r="V8" s="578"/>
      <c r="W8" s="578"/>
      <c r="X8" s="578"/>
      <c r="Y8" s="570"/>
      <c r="Z8" s="578"/>
      <c r="AA8" s="578"/>
    </row>
    <row r="9" spans="1:27" s="556" customFormat="1" ht="25.5" customHeight="1" x14ac:dyDescent="0.25">
      <c r="A9" s="632" t="s">
        <v>378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20" t="s">
        <v>287</v>
      </c>
      <c r="Q9" s="620"/>
      <c r="R9" s="620"/>
      <c r="S9" s="620"/>
      <c r="T9" s="620"/>
      <c r="U9" s="620"/>
      <c r="V9" s="620"/>
      <c r="W9" s="578"/>
      <c r="X9" s="578"/>
      <c r="Y9" s="578"/>
      <c r="Z9" s="578"/>
      <c r="AA9" s="578"/>
    </row>
    <row r="10" spans="1:27" s="556" customFormat="1" ht="19.5" customHeight="1" x14ac:dyDescent="0.25">
      <c r="A10" s="564"/>
      <c r="B10" s="611"/>
      <c r="C10" s="564"/>
      <c r="D10" s="567" t="s">
        <v>353</v>
      </c>
      <c r="E10" s="564"/>
      <c r="F10" s="564"/>
      <c r="G10" s="577"/>
      <c r="H10" s="577"/>
      <c r="I10" s="577"/>
      <c r="J10" s="578"/>
      <c r="K10" s="564"/>
      <c r="L10" s="564"/>
      <c r="M10" s="564"/>
      <c r="N10" s="564"/>
      <c r="O10" s="555"/>
      <c r="P10" s="622" t="s">
        <v>288</v>
      </c>
      <c r="Q10" s="620" t="s">
        <v>289</v>
      </c>
      <c r="R10" s="620"/>
      <c r="S10" s="620"/>
      <c r="T10" s="620"/>
      <c r="U10" s="620"/>
      <c r="V10" s="620"/>
      <c r="W10" s="578"/>
      <c r="X10" s="578"/>
      <c r="Y10" s="578"/>
      <c r="Z10" s="578"/>
      <c r="AA10" s="578"/>
    </row>
    <row r="11" spans="1:27" s="556" customFormat="1" ht="45.75" customHeight="1" x14ac:dyDescent="0.25">
      <c r="A11" s="620" t="s">
        <v>81</v>
      </c>
      <c r="B11" s="620" t="s">
        <v>82</v>
      </c>
      <c r="C11" s="620" t="s">
        <v>83</v>
      </c>
      <c r="D11" s="620" t="s">
        <v>380</v>
      </c>
      <c r="E11" s="620" t="s">
        <v>85</v>
      </c>
      <c r="F11" s="620"/>
      <c r="G11" s="620" t="s">
        <v>364</v>
      </c>
      <c r="H11" s="620" t="s">
        <v>87</v>
      </c>
      <c r="I11" s="620" t="s">
        <v>354</v>
      </c>
      <c r="J11" s="620"/>
      <c r="K11" s="574" t="s">
        <v>362</v>
      </c>
      <c r="L11" s="620" t="s">
        <v>90</v>
      </c>
      <c r="M11" s="620"/>
      <c r="N11" s="620" t="s">
        <v>365</v>
      </c>
      <c r="O11" s="626" t="s">
        <v>381</v>
      </c>
      <c r="P11" s="621"/>
      <c r="Q11" s="574" t="s">
        <v>93</v>
      </c>
      <c r="R11" s="574" t="s">
        <v>22</v>
      </c>
      <c r="S11" s="574" t="s">
        <v>290</v>
      </c>
      <c r="T11" s="574" t="s">
        <v>291</v>
      </c>
      <c r="U11" s="574" t="s">
        <v>28</v>
      </c>
      <c r="V11" s="574" t="s">
        <v>292</v>
      </c>
      <c r="W11" s="578"/>
      <c r="X11" s="578"/>
      <c r="Y11" s="578"/>
      <c r="Z11" s="578"/>
      <c r="AA11" s="578"/>
    </row>
    <row r="12" spans="1:27" ht="45" x14ac:dyDescent="0.25">
      <c r="A12" s="620"/>
      <c r="B12" s="620"/>
      <c r="C12" s="620"/>
      <c r="D12" s="620"/>
      <c r="E12" s="574" t="s">
        <v>94</v>
      </c>
      <c r="F12" s="574" t="s">
        <v>355</v>
      </c>
      <c r="G12" s="620"/>
      <c r="H12" s="620"/>
      <c r="I12" s="574" t="s">
        <v>96</v>
      </c>
      <c r="J12" s="574" t="s">
        <v>175</v>
      </c>
      <c r="K12" s="574" t="s">
        <v>175</v>
      </c>
      <c r="L12" s="574" t="s">
        <v>363</v>
      </c>
      <c r="M12" s="574" t="s">
        <v>99</v>
      </c>
      <c r="N12" s="620"/>
      <c r="O12" s="626"/>
      <c r="P12" s="621"/>
      <c r="Q12" s="620" t="s">
        <v>293</v>
      </c>
      <c r="R12" s="620"/>
      <c r="S12" s="620"/>
      <c r="T12" s="620"/>
      <c r="U12" s="620"/>
      <c r="V12" s="620"/>
      <c r="W12" s="578"/>
      <c r="X12" s="578"/>
      <c r="Y12" s="578"/>
      <c r="Z12" s="578"/>
      <c r="AA12" s="578"/>
    </row>
    <row r="13" spans="1:27" s="556" customFormat="1" ht="30" customHeight="1" x14ac:dyDescent="0.25">
      <c r="A13" s="619" t="s">
        <v>101</v>
      </c>
      <c r="B13" s="619"/>
      <c r="C13" s="619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580">
        <v>5</v>
      </c>
      <c r="P13" s="621" t="s">
        <v>294</v>
      </c>
      <c r="Q13" s="620">
        <v>1</v>
      </c>
      <c r="R13" s="626">
        <v>1.08</v>
      </c>
      <c r="S13" s="620">
        <v>1.2</v>
      </c>
      <c r="T13" s="620">
        <v>1.35</v>
      </c>
      <c r="U13" s="620">
        <v>1.54</v>
      </c>
      <c r="V13" s="620">
        <v>1.8</v>
      </c>
      <c r="W13" s="578"/>
      <c r="X13" s="578"/>
      <c r="Y13" s="578"/>
      <c r="Z13" s="578"/>
      <c r="AA13" s="578"/>
    </row>
    <row r="14" spans="1:27" s="564" customFormat="1" ht="29.25" customHeight="1" x14ac:dyDescent="0.25">
      <c r="A14" s="587">
        <v>1</v>
      </c>
      <c r="B14" s="588" t="s">
        <v>0</v>
      </c>
      <c r="C14" s="587">
        <v>1</v>
      </c>
      <c r="D14" s="589">
        <v>3.4</v>
      </c>
      <c r="E14" s="587"/>
      <c r="F14" s="587"/>
      <c r="G14" s="590">
        <f>ROUND($Y$2*$Y$3*D14*$Y$4,0)</f>
        <v>18659</v>
      </c>
      <c r="H14" s="590">
        <f>C14*G14</f>
        <v>18659</v>
      </c>
      <c r="I14" s="590"/>
      <c r="J14" s="590"/>
      <c r="K14" s="590"/>
      <c r="L14" s="590"/>
      <c r="M14" s="590"/>
      <c r="N14" s="590">
        <f>SUM(H14:M14)</f>
        <v>18659</v>
      </c>
      <c r="O14" s="590">
        <f>N14*$O$13</f>
        <v>93295</v>
      </c>
      <c r="P14" s="621"/>
      <c r="Q14" s="620"/>
      <c r="R14" s="626"/>
      <c r="S14" s="620"/>
      <c r="T14" s="620"/>
      <c r="U14" s="620"/>
      <c r="V14" s="620"/>
      <c r="W14" s="578"/>
      <c r="X14" s="578"/>
      <c r="Y14" s="578"/>
      <c r="Z14" s="578"/>
      <c r="AA14" s="578"/>
    </row>
    <row r="15" spans="1:27" s="564" customFormat="1" ht="29.25" customHeight="1" x14ac:dyDescent="0.25">
      <c r="A15" s="587">
        <v>2</v>
      </c>
      <c r="B15" s="588" t="s">
        <v>1</v>
      </c>
      <c r="C15" s="587">
        <v>1</v>
      </c>
      <c r="D15" s="589">
        <v>3</v>
      </c>
      <c r="E15" s="587"/>
      <c r="F15" s="587"/>
      <c r="G15" s="590">
        <f>ROUND($Y$2*$Y$3*D15*$Y$4,0)</f>
        <v>16464</v>
      </c>
      <c r="H15" s="590">
        <f t="shared" ref="H15:H27" si="0">C15*G15</f>
        <v>16464</v>
      </c>
      <c r="I15" s="590"/>
      <c r="J15" s="590"/>
      <c r="K15" s="590"/>
      <c r="L15" s="590"/>
      <c r="M15" s="590"/>
      <c r="N15" s="590">
        <f t="shared" ref="N15:N27" si="1">SUM(H15:M15)</f>
        <v>16464</v>
      </c>
      <c r="O15" s="590">
        <f t="shared" ref="O15:O27" si="2">N15*$O$13</f>
        <v>82320</v>
      </c>
      <c r="P15" s="621"/>
      <c r="Q15" s="620"/>
      <c r="R15" s="626"/>
      <c r="S15" s="620"/>
      <c r="T15" s="620"/>
      <c r="U15" s="620"/>
      <c r="V15" s="620"/>
      <c r="W15" s="578"/>
      <c r="X15" s="578"/>
      <c r="Y15" s="578"/>
      <c r="Z15" s="578"/>
      <c r="AA15" s="578"/>
    </row>
    <row r="16" spans="1:27" s="564" customFormat="1" ht="29.25" customHeight="1" x14ac:dyDescent="0.25">
      <c r="A16" s="587">
        <v>3</v>
      </c>
      <c r="B16" s="588" t="s">
        <v>2</v>
      </c>
      <c r="C16" s="587">
        <v>1</v>
      </c>
      <c r="D16" s="589">
        <v>2.9</v>
      </c>
      <c r="E16" s="587"/>
      <c r="F16" s="587"/>
      <c r="G16" s="590">
        <f>ROUND($Y$2*$Y$3*D16*$Y$4,0)</f>
        <v>15915</v>
      </c>
      <c r="H16" s="590">
        <f t="shared" si="0"/>
        <v>15915</v>
      </c>
      <c r="I16" s="590"/>
      <c r="J16" s="590"/>
      <c r="K16" s="590"/>
      <c r="L16" s="590"/>
      <c r="M16" s="590"/>
      <c r="N16" s="590">
        <f t="shared" si="1"/>
        <v>15915</v>
      </c>
      <c r="O16" s="590">
        <f t="shared" si="2"/>
        <v>79575</v>
      </c>
      <c r="P16" s="621"/>
      <c r="Q16" s="620"/>
      <c r="R16" s="626"/>
      <c r="S16" s="620"/>
      <c r="T16" s="620"/>
      <c r="U16" s="620"/>
      <c r="V16" s="620"/>
      <c r="W16" s="578"/>
      <c r="X16" s="578"/>
      <c r="Y16" s="578"/>
      <c r="Z16" s="578"/>
      <c r="AA16" s="578"/>
    </row>
    <row r="17" spans="1:27" s="564" customFormat="1" ht="29.25" customHeight="1" x14ac:dyDescent="0.25">
      <c r="A17" s="587">
        <v>4</v>
      </c>
      <c r="B17" s="588" t="s">
        <v>103</v>
      </c>
      <c r="C17" s="587">
        <v>1</v>
      </c>
      <c r="D17" s="589">
        <v>1.75</v>
      </c>
      <c r="E17" s="587"/>
      <c r="F17" s="587"/>
      <c r="G17" s="590">
        <f>ROUND($Y$2*$Y$3*D17*$Y$4,0)</f>
        <v>9604</v>
      </c>
      <c r="H17" s="590">
        <f t="shared" si="0"/>
        <v>9604</v>
      </c>
      <c r="I17" s="590"/>
      <c r="J17" s="590"/>
      <c r="K17" s="590"/>
      <c r="L17" s="590"/>
      <c r="M17" s="590"/>
      <c r="N17" s="590">
        <f t="shared" si="1"/>
        <v>9604</v>
      </c>
      <c r="O17" s="590">
        <f t="shared" si="2"/>
        <v>48020</v>
      </c>
      <c r="P17" s="621"/>
      <c r="Q17" s="620" t="s">
        <v>295</v>
      </c>
      <c r="R17" s="620"/>
      <c r="S17" s="620"/>
      <c r="T17" s="620"/>
      <c r="U17" s="620"/>
      <c r="V17" s="620"/>
      <c r="W17" s="578"/>
      <c r="X17" s="578"/>
      <c r="Y17" s="578"/>
      <c r="Z17" s="578"/>
      <c r="AA17" s="578"/>
    </row>
    <row r="18" spans="1:27" s="564" customFormat="1" ht="29.25" customHeight="1" x14ac:dyDescent="0.25">
      <c r="A18" s="587">
        <v>5</v>
      </c>
      <c r="B18" s="588" t="s">
        <v>3</v>
      </c>
      <c r="C18" s="587">
        <v>1</v>
      </c>
      <c r="D18" s="589">
        <v>1.75</v>
      </c>
      <c r="E18" s="587"/>
      <c r="F18" s="587"/>
      <c r="G18" s="590">
        <f>ROUND($Y$2*$Y$3*D18*$Y$4,0)</f>
        <v>9604</v>
      </c>
      <c r="H18" s="590">
        <f t="shared" si="0"/>
        <v>9604</v>
      </c>
      <c r="I18" s="590"/>
      <c r="J18" s="590"/>
      <c r="K18" s="590"/>
      <c r="L18" s="590"/>
      <c r="M18" s="590"/>
      <c r="N18" s="590">
        <f t="shared" si="1"/>
        <v>9604</v>
      </c>
      <c r="O18" s="590">
        <f t="shared" si="2"/>
        <v>48020</v>
      </c>
      <c r="P18" s="621"/>
      <c r="Q18" s="575">
        <f>ROUND(($Y$2*$Y$3*$Y$4*Q13)/$Y$5,2)</f>
        <v>33.31</v>
      </c>
      <c r="R18" s="575">
        <f>ROUND(($Y$2*$Y$3*$Y$4*R13)/$Y$5,2)</f>
        <v>35.979999999999997</v>
      </c>
      <c r="S18" s="575">
        <f>ROUND(($Y$2*$Y$3*$Y$4*S13)/$Y$5,2)</f>
        <v>39.97</v>
      </c>
      <c r="T18" s="575">
        <f>ROUND(($Y$2*$Y$3*$Y$4*T13)/$Y$5,2)</f>
        <v>44.97</v>
      </c>
      <c r="U18" s="575">
        <f>ROUND(($Y$2*$Y$3*$Y$4*U13)/$Y$5,2)</f>
        <v>51.3</v>
      </c>
      <c r="V18" s="575">
        <f>ROUND(($Y$2*$Y$3*$Y$4*V13)/$Y$5,2)</f>
        <v>59.96</v>
      </c>
      <c r="W18" s="578"/>
      <c r="X18" s="578"/>
      <c r="Y18" s="578"/>
      <c r="Z18" s="578"/>
      <c r="AA18" s="578"/>
    </row>
    <row r="19" spans="1:27" s="564" customFormat="1" ht="29.25" customHeight="1" x14ac:dyDescent="0.25">
      <c r="A19" s="587">
        <v>6</v>
      </c>
      <c r="B19" s="588" t="s">
        <v>4</v>
      </c>
      <c r="C19" s="587">
        <v>1</v>
      </c>
      <c r="D19" s="589">
        <v>2.4</v>
      </c>
      <c r="E19" s="587"/>
      <c r="F19" s="587"/>
      <c r="G19" s="590">
        <f>ROUND($Y$2*$Y$3*D19*$Y$4,0)</f>
        <v>13171</v>
      </c>
      <c r="H19" s="590">
        <f t="shared" si="0"/>
        <v>13171</v>
      </c>
      <c r="I19" s="590"/>
      <c r="J19" s="590"/>
      <c r="K19" s="590"/>
      <c r="L19" s="590"/>
      <c r="M19" s="590"/>
      <c r="N19" s="590">
        <f t="shared" si="1"/>
        <v>13171</v>
      </c>
      <c r="O19" s="590">
        <f t="shared" si="2"/>
        <v>65855</v>
      </c>
      <c r="P19" s="621" t="s">
        <v>368</v>
      </c>
      <c r="Q19" s="622"/>
      <c r="R19" s="622"/>
      <c r="S19" s="622"/>
      <c r="T19" s="622"/>
      <c r="U19" s="622"/>
      <c r="V19" s="622"/>
      <c r="W19" s="578"/>
      <c r="X19" s="578"/>
      <c r="Y19" s="578"/>
      <c r="Z19" s="578"/>
      <c r="AA19" s="578"/>
    </row>
    <row r="20" spans="1:27" s="564" customFormat="1" ht="29.25" customHeight="1" x14ac:dyDescent="0.25">
      <c r="A20" s="587">
        <v>7</v>
      </c>
      <c r="B20" s="588" t="s">
        <v>5</v>
      </c>
      <c r="C20" s="587">
        <v>1</v>
      </c>
      <c r="D20" s="589">
        <v>1.75</v>
      </c>
      <c r="E20" s="587"/>
      <c r="F20" s="587"/>
      <c r="G20" s="590">
        <f>ROUND($Y$2*$Y$3*D20*$Y$4,0)</f>
        <v>9604</v>
      </c>
      <c r="H20" s="590">
        <f t="shared" si="0"/>
        <v>9604</v>
      </c>
      <c r="I20" s="590"/>
      <c r="J20" s="590"/>
      <c r="K20" s="590"/>
      <c r="L20" s="590"/>
      <c r="M20" s="590"/>
      <c r="N20" s="590">
        <f>SUM(H20:M20)</f>
        <v>9604</v>
      </c>
      <c r="O20" s="590">
        <f t="shared" si="2"/>
        <v>48020</v>
      </c>
      <c r="P20" s="576" t="s">
        <v>296</v>
      </c>
      <c r="Q20" s="620" t="s">
        <v>369</v>
      </c>
      <c r="R20" s="620"/>
      <c r="S20" s="620"/>
      <c r="T20" s="620"/>
      <c r="U20" s="620"/>
      <c r="V20" s="620"/>
      <c r="W20" s="578"/>
      <c r="X20" s="578"/>
      <c r="Y20" s="578"/>
      <c r="Z20" s="578"/>
      <c r="AA20" s="578"/>
    </row>
    <row r="21" spans="1:27" s="564" customFormat="1" ht="29.25" customHeight="1" x14ac:dyDescent="0.25">
      <c r="A21" s="587">
        <v>8</v>
      </c>
      <c r="B21" s="588" t="s">
        <v>249</v>
      </c>
      <c r="C21" s="587">
        <v>1</v>
      </c>
      <c r="D21" s="589">
        <v>1.5</v>
      </c>
      <c r="E21" s="587"/>
      <c r="F21" s="587"/>
      <c r="G21" s="590">
        <f>ROUND($Y$2*$Y$3*D21*$Y$4,0)</f>
        <v>8232</v>
      </c>
      <c r="H21" s="590">
        <f t="shared" si="0"/>
        <v>8232</v>
      </c>
      <c r="I21" s="590"/>
      <c r="J21" s="590"/>
      <c r="K21" s="590"/>
      <c r="L21" s="590"/>
      <c r="M21" s="590"/>
      <c r="N21" s="590">
        <f t="shared" si="1"/>
        <v>8232</v>
      </c>
      <c r="O21" s="590">
        <f t="shared" si="2"/>
        <v>41160</v>
      </c>
      <c r="P21" s="627" t="s">
        <v>297</v>
      </c>
      <c r="Q21" s="620"/>
      <c r="R21" s="620"/>
      <c r="S21" s="620"/>
      <c r="T21" s="620"/>
      <c r="U21" s="620"/>
      <c r="V21" s="620"/>
      <c r="W21" s="578"/>
      <c r="X21" s="578"/>
      <c r="Y21" s="578"/>
      <c r="Z21" s="578"/>
      <c r="AA21" s="578"/>
    </row>
    <row r="22" spans="1:27" s="564" customFormat="1" ht="29.25" customHeight="1" x14ac:dyDescent="0.25">
      <c r="A22" s="587">
        <v>9</v>
      </c>
      <c r="B22" s="588" t="s">
        <v>6</v>
      </c>
      <c r="C22" s="587">
        <v>1</v>
      </c>
      <c r="D22" s="589">
        <v>1.7</v>
      </c>
      <c r="E22" s="587"/>
      <c r="F22" s="587"/>
      <c r="G22" s="590">
        <f>ROUND($Y$2*$Y$3*D22*$Y$4,0)</f>
        <v>9330</v>
      </c>
      <c r="H22" s="590">
        <f t="shared" si="0"/>
        <v>9330</v>
      </c>
      <c r="I22" s="590"/>
      <c r="J22" s="590"/>
      <c r="K22" s="590"/>
      <c r="L22" s="590"/>
      <c r="M22" s="590"/>
      <c r="N22" s="590">
        <f t="shared" si="1"/>
        <v>9330</v>
      </c>
      <c r="O22" s="590">
        <f t="shared" si="2"/>
        <v>46650</v>
      </c>
      <c r="P22" s="576"/>
      <c r="Q22" s="574"/>
      <c r="R22" s="574"/>
      <c r="S22" s="574"/>
      <c r="T22" s="574"/>
      <c r="U22" s="574"/>
      <c r="V22" s="574"/>
      <c r="W22" s="578"/>
      <c r="X22" s="578"/>
      <c r="Y22" s="578"/>
      <c r="Z22" s="578"/>
      <c r="AA22" s="578"/>
    </row>
    <row r="23" spans="1:27" s="564" customFormat="1" ht="29.25" customHeight="1" x14ac:dyDescent="0.25">
      <c r="A23" s="587">
        <v>10</v>
      </c>
      <c r="B23" s="588" t="s">
        <v>104</v>
      </c>
      <c r="C23" s="587">
        <v>1</v>
      </c>
      <c r="D23" s="589">
        <v>1.5</v>
      </c>
      <c r="E23" s="587"/>
      <c r="F23" s="587"/>
      <c r="G23" s="590">
        <f>ROUND($Y$2*$Y$3*D23*$Y$4,0)</f>
        <v>8232</v>
      </c>
      <c r="H23" s="590">
        <f t="shared" si="0"/>
        <v>8232</v>
      </c>
      <c r="I23" s="590"/>
      <c r="J23" s="590"/>
      <c r="K23" s="590"/>
      <c r="L23" s="590"/>
      <c r="M23" s="590"/>
      <c r="N23" s="590">
        <f t="shared" si="1"/>
        <v>8232</v>
      </c>
      <c r="O23" s="590">
        <f t="shared" si="2"/>
        <v>41160</v>
      </c>
      <c r="P23" s="576" t="s">
        <v>288</v>
      </c>
      <c r="Q23" s="620" t="s">
        <v>298</v>
      </c>
      <c r="R23" s="620"/>
      <c r="S23" s="620"/>
      <c r="T23" s="620"/>
      <c r="U23" s="620"/>
      <c r="V23" s="620"/>
      <c r="W23" s="578"/>
      <c r="X23" s="578"/>
      <c r="Y23" s="578"/>
      <c r="Z23" s="578"/>
      <c r="AA23" s="578"/>
    </row>
    <row r="24" spans="1:27" s="564" customFormat="1" ht="27" customHeight="1" x14ac:dyDescent="0.25">
      <c r="A24" s="587">
        <v>11</v>
      </c>
      <c r="B24" s="588" t="s">
        <v>305</v>
      </c>
      <c r="C24" s="587">
        <v>1</v>
      </c>
      <c r="D24" s="589">
        <v>2.4</v>
      </c>
      <c r="E24" s="587"/>
      <c r="F24" s="587"/>
      <c r="G24" s="590">
        <f>ROUND($Y$2*$Y$3*D24*$Y$4,0)</f>
        <v>13171</v>
      </c>
      <c r="H24" s="590">
        <f t="shared" si="0"/>
        <v>13171</v>
      </c>
      <c r="I24" s="590"/>
      <c r="J24" s="590"/>
      <c r="K24" s="590"/>
      <c r="L24" s="590"/>
      <c r="M24" s="590"/>
      <c r="N24" s="590">
        <f t="shared" si="1"/>
        <v>13171</v>
      </c>
      <c r="O24" s="590">
        <f t="shared" si="2"/>
        <v>65855</v>
      </c>
      <c r="P24" s="621" t="s">
        <v>299</v>
      </c>
      <c r="Q24" s="620" t="s">
        <v>300</v>
      </c>
      <c r="R24" s="620"/>
      <c r="S24" s="620" t="s">
        <v>301</v>
      </c>
      <c r="T24" s="620" t="s">
        <v>302</v>
      </c>
      <c r="U24" s="620" t="s">
        <v>303</v>
      </c>
      <c r="V24" s="620" t="s">
        <v>304</v>
      </c>
      <c r="W24" s="578"/>
      <c r="X24" s="578"/>
      <c r="Y24" s="578"/>
      <c r="Z24" s="578"/>
      <c r="AA24" s="578"/>
    </row>
    <row r="25" spans="1:27" s="564" customFormat="1" ht="40.5" customHeight="1" x14ac:dyDescent="0.25">
      <c r="A25" s="587">
        <v>12</v>
      </c>
      <c r="B25" s="588" t="s">
        <v>7</v>
      </c>
      <c r="C25" s="587">
        <v>1</v>
      </c>
      <c r="D25" s="589">
        <v>1.7</v>
      </c>
      <c r="E25" s="587"/>
      <c r="F25" s="587"/>
      <c r="G25" s="590">
        <f>ROUND($Y$2*$Y$3*D25*$Y$4,0)</f>
        <v>9330</v>
      </c>
      <c r="H25" s="590">
        <f t="shared" si="0"/>
        <v>9330</v>
      </c>
      <c r="I25" s="590"/>
      <c r="J25" s="590"/>
      <c r="K25" s="590"/>
      <c r="L25" s="590"/>
      <c r="M25" s="590"/>
      <c r="N25" s="590">
        <f t="shared" si="1"/>
        <v>9330</v>
      </c>
      <c r="O25" s="590">
        <f t="shared" si="2"/>
        <v>46650</v>
      </c>
      <c r="P25" s="621"/>
      <c r="Q25" s="620"/>
      <c r="R25" s="620"/>
      <c r="S25" s="620"/>
      <c r="T25" s="620"/>
      <c r="U25" s="620"/>
      <c r="V25" s="620"/>
      <c r="W25" s="578"/>
      <c r="X25" s="578"/>
      <c r="Y25" s="578"/>
      <c r="Z25" s="578"/>
      <c r="AA25" s="578"/>
    </row>
    <row r="26" spans="1:27" s="564" customFormat="1" ht="37.5" customHeight="1" x14ac:dyDescent="0.25">
      <c r="A26" s="587">
        <v>13</v>
      </c>
      <c r="B26" s="588" t="s">
        <v>9</v>
      </c>
      <c r="C26" s="587">
        <v>1</v>
      </c>
      <c r="D26" s="589">
        <v>1.7</v>
      </c>
      <c r="E26" s="587"/>
      <c r="F26" s="587"/>
      <c r="G26" s="590">
        <f>ROUND($Y$2*$Y$3*D26*$Y$4,0)</f>
        <v>9330</v>
      </c>
      <c r="H26" s="590">
        <f t="shared" si="0"/>
        <v>9330</v>
      </c>
      <c r="I26" s="590"/>
      <c r="J26" s="590"/>
      <c r="K26" s="590"/>
      <c r="L26" s="590"/>
      <c r="M26" s="590"/>
      <c r="N26" s="590">
        <f t="shared" si="1"/>
        <v>9330</v>
      </c>
      <c r="O26" s="590">
        <f t="shared" si="2"/>
        <v>46650</v>
      </c>
      <c r="P26" s="621"/>
      <c r="Q26" s="620"/>
      <c r="R26" s="620"/>
      <c r="S26" s="574">
        <v>1.92</v>
      </c>
      <c r="T26" s="574">
        <v>2.2200000000000002</v>
      </c>
      <c r="U26" s="574">
        <v>2.33</v>
      </c>
      <c r="V26" s="574">
        <v>2.4300000000000002</v>
      </c>
      <c r="W26" s="578"/>
      <c r="X26" s="578"/>
      <c r="Y26" s="578"/>
      <c r="Z26" s="578"/>
      <c r="AA26" s="578"/>
    </row>
    <row r="27" spans="1:27" s="564" customFormat="1" ht="27" customHeight="1" x14ac:dyDescent="0.25">
      <c r="A27" s="587">
        <v>14</v>
      </c>
      <c r="B27" s="588" t="s">
        <v>8</v>
      </c>
      <c r="C27" s="587">
        <v>1</v>
      </c>
      <c r="D27" s="589">
        <v>1.7</v>
      </c>
      <c r="E27" s="587"/>
      <c r="F27" s="587"/>
      <c r="G27" s="590">
        <f>ROUND($Y$2*$Y$3*D27*$Y$4,0)</f>
        <v>9330</v>
      </c>
      <c r="H27" s="590">
        <f t="shared" si="0"/>
        <v>9330</v>
      </c>
      <c r="I27" s="590"/>
      <c r="J27" s="590"/>
      <c r="K27" s="590"/>
      <c r="L27" s="590"/>
      <c r="M27" s="590"/>
      <c r="N27" s="590">
        <f t="shared" si="1"/>
        <v>9330</v>
      </c>
      <c r="O27" s="590">
        <f t="shared" si="2"/>
        <v>46650</v>
      </c>
      <c r="P27" s="621"/>
      <c r="Q27" s="622" t="s">
        <v>306</v>
      </c>
      <c r="R27" s="622"/>
      <c r="S27" s="574">
        <f>ROUND(($Y$2*$Y$4*S26)/$Y$5,2)</f>
        <v>40.479999999999997</v>
      </c>
      <c r="T27" s="575">
        <f>ROUND(($Y$2*$Y$4*T26)/$Y$5,2)</f>
        <v>46.8</v>
      </c>
      <c r="U27" s="574">
        <f>ROUND(($Y$2*$Y$4*U26)/$Y$5,2)</f>
        <v>49.12</v>
      </c>
      <c r="V27" s="574">
        <f>ROUND(($Y$2*$Y$4*V26)/$Y$5,2)</f>
        <v>51.23</v>
      </c>
      <c r="W27" s="578"/>
      <c r="X27" s="578"/>
      <c r="Y27" s="578"/>
      <c r="Z27" s="578"/>
      <c r="AA27" s="578"/>
    </row>
    <row r="28" spans="1:27" s="564" customFormat="1" ht="27" customHeight="1" x14ac:dyDescent="0.25">
      <c r="A28" s="618" t="s">
        <v>307</v>
      </c>
      <c r="B28" s="618"/>
      <c r="C28" s="591">
        <f>SUM(C14:C27)</f>
        <v>14</v>
      </c>
      <c r="D28" s="591"/>
      <c r="E28" s="591"/>
      <c r="F28" s="591"/>
      <c r="G28" s="592"/>
      <c r="H28" s="592">
        <f>SUM(H14:H27)</f>
        <v>159976</v>
      </c>
      <c r="I28" s="592"/>
      <c r="J28" s="592"/>
      <c r="K28" s="592"/>
      <c r="L28" s="592"/>
      <c r="M28" s="592"/>
      <c r="N28" s="592">
        <f>SUM(N14:N27)</f>
        <v>159976</v>
      </c>
      <c r="O28" s="592">
        <f>SUM(O14:O27)</f>
        <v>799880</v>
      </c>
      <c r="P28" s="609">
        <f>ROUND(O28*22%,2)</f>
        <v>175973.6</v>
      </c>
      <c r="Q28" s="574" t="s">
        <v>367</v>
      </c>
      <c r="R28" s="574"/>
      <c r="S28" s="574"/>
      <c r="T28" s="574"/>
      <c r="U28" s="574"/>
      <c r="V28" s="574"/>
      <c r="W28" s="578"/>
      <c r="X28" s="578"/>
      <c r="Y28" s="578"/>
      <c r="Z28" s="578"/>
      <c r="AA28" s="578"/>
    </row>
    <row r="29" spans="1:27" s="564" customFormat="1" ht="30" customHeight="1" x14ac:dyDescent="0.25">
      <c r="A29" s="619" t="s">
        <v>107</v>
      </c>
      <c r="B29" s="619"/>
      <c r="C29" s="61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560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78"/>
    </row>
    <row r="30" spans="1:27" s="564" customFormat="1" ht="29.25" customHeight="1" x14ac:dyDescent="0.25">
      <c r="A30" s="587">
        <v>15</v>
      </c>
      <c r="B30" s="588" t="s">
        <v>10</v>
      </c>
      <c r="C30" s="587">
        <v>1</v>
      </c>
      <c r="D30" s="587">
        <v>2.2999999999999998</v>
      </c>
      <c r="E30" s="587"/>
      <c r="F30" s="587"/>
      <c r="G30" s="590">
        <f>ROUND($Y$2*$Y$3*D30*$Y$4,0)</f>
        <v>12622</v>
      </c>
      <c r="H30" s="590">
        <f>G30*C30</f>
        <v>12622</v>
      </c>
      <c r="I30" s="594"/>
      <c r="J30" s="590"/>
      <c r="K30" s="590"/>
      <c r="L30" s="590"/>
      <c r="M30" s="590"/>
      <c r="N30" s="590">
        <f>SUM(H30:M30)</f>
        <v>12622</v>
      </c>
      <c r="O30" s="590">
        <f>N30*$O$13</f>
        <v>63110</v>
      </c>
      <c r="P30" s="621" t="s">
        <v>308</v>
      </c>
      <c r="Q30" s="622"/>
      <c r="R30" s="622"/>
      <c r="S30" s="622"/>
      <c r="T30" s="622"/>
      <c r="U30" s="622"/>
      <c r="V30" s="622"/>
      <c r="W30" s="622"/>
      <c r="X30" s="622"/>
      <c r="Y30" s="622"/>
      <c r="Z30" s="561"/>
      <c r="AA30" s="578"/>
    </row>
    <row r="31" spans="1:27" s="564" customFormat="1" ht="29.25" customHeight="1" x14ac:dyDescent="0.25">
      <c r="A31" s="587">
        <v>16</v>
      </c>
      <c r="B31" s="588" t="s">
        <v>309</v>
      </c>
      <c r="C31" s="587">
        <v>1</v>
      </c>
      <c r="D31" s="587">
        <v>2.15</v>
      </c>
      <c r="E31" s="587"/>
      <c r="F31" s="587"/>
      <c r="G31" s="590">
        <f>ROUND($Y$2*$Y$3*D31*$Y$4,0)</f>
        <v>11799</v>
      </c>
      <c r="H31" s="590">
        <f t="shared" ref="H31:H33" si="3">G31*C31</f>
        <v>11799</v>
      </c>
      <c r="I31" s="594"/>
      <c r="J31" s="590"/>
      <c r="K31" s="590"/>
      <c r="L31" s="590"/>
      <c r="M31" s="590"/>
      <c r="N31" s="590">
        <f t="shared" ref="N31:N33" si="4">SUM(H31:M31)</f>
        <v>11799</v>
      </c>
      <c r="O31" s="590">
        <f t="shared" ref="O31:O33" si="5">N31*$O$13</f>
        <v>58995</v>
      </c>
      <c r="P31" s="621" t="s">
        <v>310</v>
      </c>
      <c r="Q31" s="622"/>
      <c r="R31" s="622"/>
      <c r="S31" s="622"/>
      <c r="T31" s="622"/>
      <c r="U31" s="622"/>
      <c r="V31" s="622"/>
      <c r="W31" s="622"/>
      <c r="X31" s="622"/>
      <c r="Y31" s="622"/>
      <c r="Z31" s="561"/>
      <c r="AA31" s="578"/>
    </row>
    <row r="32" spans="1:27" s="564" customFormat="1" ht="29.25" customHeight="1" x14ac:dyDescent="0.25">
      <c r="A32" s="587">
        <v>17</v>
      </c>
      <c r="B32" s="588" t="s">
        <v>8</v>
      </c>
      <c r="C32" s="587">
        <v>2</v>
      </c>
      <c r="D32" s="595">
        <v>1.7</v>
      </c>
      <c r="E32" s="587"/>
      <c r="F32" s="587"/>
      <c r="G32" s="590">
        <f>ROUND($Y$2*$Y$3*D32*$Y$4,0)</f>
        <v>9330</v>
      </c>
      <c r="H32" s="590">
        <f t="shared" si="3"/>
        <v>18660</v>
      </c>
      <c r="I32" s="594"/>
      <c r="J32" s="590"/>
      <c r="K32" s="590"/>
      <c r="L32" s="590"/>
      <c r="M32" s="590"/>
      <c r="N32" s="590">
        <f t="shared" si="4"/>
        <v>18660</v>
      </c>
      <c r="O32" s="590">
        <f t="shared" si="5"/>
        <v>93300</v>
      </c>
      <c r="P32" s="621" t="s">
        <v>375</v>
      </c>
      <c r="Q32" s="622"/>
      <c r="R32" s="622"/>
      <c r="S32" s="622"/>
      <c r="T32" s="622"/>
      <c r="U32" s="622"/>
      <c r="V32" s="622"/>
      <c r="W32" s="622"/>
      <c r="X32" s="622"/>
      <c r="Y32" s="622"/>
      <c r="Z32" s="561"/>
      <c r="AA32" s="578"/>
    </row>
    <row r="33" spans="1:27" s="564" customFormat="1" ht="29.25" customHeight="1" x14ac:dyDescent="0.25">
      <c r="A33" s="587">
        <v>18</v>
      </c>
      <c r="B33" s="588" t="s">
        <v>108</v>
      </c>
      <c r="C33" s="587">
        <v>1</v>
      </c>
      <c r="D33" s="589">
        <v>1.75</v>
      </c>
      <c r="E33" s="587"/>
      <c r="F33" s="587"/>
      <c r="G33" s="590">
        <f>ROUND($Y$2*$Y$3*D33*$Y$4,0)</f>
        <v>9604</v>
      </c>
      <c r="H33" s="590">
        <f t="shared" si="3"/>
        <v>9604</v>
      </c>
      <c r="I33" s="594"/>
      <c r="J33" s="590"/>
      <c r="K33" s="590"/>
      <c r="L33" s="590"/>
      <c r="M33" s="590"/>
      <c r="N33" s="590">
        <f t="shared" si="4"/>
        <v>9604</v>
      </c>
      <c r="O33" s="590">
        <f t="shared" si="5"/>
        <v>48020</v>
      </c>
      <c r="P33" s="623" t="s">
        <v>312</v>
      </c>
      <c r="Q33" s="624"/>
      <c r="R33" s="624"/>
      <c r="S33" s="624"/>
      <c r="T33" s="624"/>
      <c r="U33" s="624"/>
      <c r="V33" s="624"/>
      <c r="W33" s="624"/>
      <c r="X33" s="624"/>
      <c r="Y33" s="624"/>
      <c r="Z33" s="578"/>
      <c r="AA33" s="578"/>
    </row>
    <row r="34" spans="1:27" s="564" customFormat="1" ht="23.25" customHeight="1" x14ac:dyDescent="0.25">
      <c r="A34" s="618" t="s">
        <v>311</v>
      </c>
      <c r="B34" s="618"/>
      <c r="C34" s="591">
        <f>SUM(C30:C33)</f>
        <v>5</v>
      </c>
      <c r="D34" s="591"/>
      <c r="E34" s="591"/>
      <c r="F34" s="591"/>
      <c r="G34" s="592"/>
      <c r="H34" s="592">
        <f>SUM(H30:H33)</f>
        <v>52685</v>
      </c>
      <c r="I34" s="592"/>
      <c r="J34" s="592"/>
      <c r="K34" s="592"/>
      <c r="L34" s="592"/>
      <c r="M34" s="592"/>
      <c r="N34" s="592">
        <f>SUM(N30:N33)</f>
        <v>52685</v>
      </c>
      <c r="O34" s="592">
        <f>SUM(O30:O33)</f>
        <v>263425</v>
      </c>
      <c r="P34" s="623" t="s">
        <v>376</v>
      </c>
      <c r="Q34" s="624"/>
      <c r="R34" s="624"/>
      <c r="S34" s="624"/>
      <c r="T34" s="624"/>
      <c r="U34" s="624"/>
      <c r="V34" s="624"/>
      <c r="W34" s="624"/>
      <c r="X34" s="624"/>
      <c r="Y34" s="624"/>
      <c r="Z34" s="578"/>
      <c r="AA34" s="578"/>
    </row>
    <row r="35" spans="1:27" s="564" customFormat="1" ht="27" customHeight="1" x14ac:dyDescent="0.25">
      <c r="A35" s="587">
        <v>19</v>
      </c>
      <c r="B35" s="588" t="s">
        <v>379</v>
      </c>
      <c r="C35" s="587">
        <v>3</v>
      </c>
      <c r="D35" s="587">
        <v>1.45</v>
      </c>
      <c r="E35" s="587"/>
      <c r="F35" s="587"/>
      <c r="G35" s="590">
        <f>ROUND($Y$2*$Y$3*D35*$Y$4,0)</f>
        <v>7958</v>
      </c>
      <c r="H35" s="590">
        <f>C35*G35</f>
        <v>23874</v>
      </c>
      <c r="I35" s="594"/>
      <c r="J35" s="590"/>
      <c r="K35" s="590"/>
      <c r="L35" s="590"/>
      <c r="M35" s="590"/>
      <c r="N35" s="590">
        <f>SUM(H35:M35)</f>
        <v>23874</v>
      </c>
      <c r="O35" s="590">
        <f>N35*$O$13</f>
        <v>119370</v>
      </c>
      <c r="P35" s="623" t="s">
        <v>377</v>
      </c>
      <c r="Q35" s="624"/>
      <c r="R35" s="624"/>
      <c r="S35" s="624"/>
      <c r="T35" s="624"/>
      <c r="U35" s="624"/>
      <c r="V35" s="624"/>
      <c r="W35" s="624"/>
      <c r="X35" s="624"/>
      <c r="Y35" s="624"/>
      <c r="Z35" s="578"/>
      <c r="AA35" s="578"/>
    </row>
    <row r="36" spans="1:27" s="564" customFormat="1" ht="37.5" customHeight="1" x14ac:dyDescent="0.25">
      <c r="A36" s="587">
        <v>20</v>
      </c>
      <c r="B36" s="588" t="s">
        <v>111</v>
      </c>
      <c r="C36" s="587">
        <v>8</v>
      </c>
      <c r="D36" s="587">
        <v>1.3</v>
      </c>
      <c r="E36" s="587"/>
      <c r="F36" s="587"/>
      <c r="G36" s="590">
        <f>ROUND($Y$2*$Y$3*D36*$Y$4,0)</f>
        <v>7134</v>
      </c>
      <c r="H36" s="590">
        <f>C36*G36</f>
        <v>57072</v>
      </c>
      <c r="I36" s="594">
        <v>0.04</v>
      </c>
      <c r="J36" s="590">
        <f>ROUND(H36*I36,2)</f>
        <v>2282.88</v>
      </c>
      <c r="K36" s="590"/>
      <c r="L36" s="590"/>
      <c r="M36" s="590"/>
      <c r="N36" s="590">
        <f>SUM(H36,J36:M36)</f>
        <v>59354.879999999997</v>
      </c>
      <c r="O36" s="590">
        <f t="shared" ref="O36:O39" si="6">N36*$O$13</f>
        <v>296774.39999999997</v>
      </c>
      <c r="P36" s="559"/>
      <c r="Q36" s="562"/>
      <c r="R36" s="562"/>
      <c r="S36" s="562"/>
      <c r="T36" s="562"/>
      <c r="U36" s="562"/>
      <c r="V36" s="562"/>
      <c r="W36" s="562"/>
      <c r="X36" s="562"/>
      <c r="Y36" s="562"/>
      <c r="Z36" s="578"/>
      <c r="AA36" s="578"/>
    </row>
    <row r="37" spans="1:27" s="564" customFormat="1" ht="40.5" customHeight="1" x14ac:dyDescent="0.25">
      <c r="A37" s="587">
        <v>21</v>
      </c>
      <c r="B37" s="588" t="s">
        <v>12</v>
      </c>
      <c r="C37" s="587">
        <v>2</v>
      </c>
      <c r="D37" s="587">
        <v>1.35</v>
      </c>
      <c r="E37" s="587"/>
      <c r="F37" s="587"/>
      <c r="G37" s="590">
        <f>ROUND($Y$2*$Y$3*D37*$Y$4,0)</f>
        <v>7409</v>
      </c>
      <c r="H37" s="590">
        <f>C37*G37</f>
        <v>14818</v>
      </c>
      <c r="I37" s="594">
        <v>0.04</v>
      </c>
      <c r="J37" s="590">
        <f>ROUND(H37*I37,2)</f>
        <v>592.72</v>
      </c>
      <c r="K37" s="590"/>
      <c r="L37" s="590"/>
      <c r="M37" s="590"/>
      <c r="N37" s="590">
        <f t="shared" ref="N37:N38" si="7">SUM(H37,J37:M37)</f>
        <v>15410.72</v>
      </c>
      <c r="O37" s="590">
        <f t="shared" si="6"/>
        <v>77053.599999999991</v>
      </c>
      <c r="P37" s="559"/>
      <c r="Q37" s="560"/>
      <c r="R37" s="560"/>
      <c r="S37" s="560"/>
      <c r="T37" s="560"/>
      <c r="U37" s="560"/>
      <c r="V37" s="560"/>
      <c r="W37" s="560"/>
      <c r="X37" s="560"/>
      <c r="Y37" s="560"/>
      <c r="Z37" s="578"/>
      <c r="AA37" s="578"/>
    </row>
    <row r="38" spans="1:27" s="564" customFormat="1" ht="30" customHeight="1" x14ac:dyDescent="0.25">
      <c r="A38" s="587">
        <v>22</v>
      </c>
      <c r="B38" s="588" t="s">
        <v>13</v>
      </c>
      <c r="C38" s="587">
        <v>1</v>
      </c>
      <c r="D38" s="587">
        <v>1.45</v>
      </c>
      <c r="E38" s="587"/>
      <c r="F38" s="587"/>
      <c r="G38" s="590">
        <f>ROUND($Y$2*$Y$3*D38*$Y$4,0)</f>
        <v>7958</v>
      </c>
      <c r="H38" s="590">
        <f>C38*G38</f>
        <v>7958</v>
      </c>
      <c r="I38" s="594"/>
      <c r="J38" s="590"/>
      <c r="K38" s="590"/>
      <c r="L38" s="590"/>
      <c r="M38" s="590"/>
      <c r="N38" s="590">
        <f t="shared" si="7"/>
        <v>7958</v>
      </c>
      <c r="O38" s="590">
        <f t="shared" si="6"/>
        <v>39790</v>
      </c>
      <c r="P38" s="559"/>
      <c r="Q38" s="578"/>
      <c r="R38" s="578"/>
      <c r="S38" s="578"/>
      <c r="T38" s="578"/>
      <c r="U38" s="578"/>
      <c r="V38" s="578"/>
      <c r="W38" s="578"/>
      <c r="X38" s="578"/>
      <c r="Y38" s="578"/>
      <c r="Z38" s="578"/>
      <c r="AA38" s="578"/>
    </row>
    <row r="39" spans="1:27" s="564" customFormat="1" ht="30" customHeight="1" x14ac:dyDescent="0.25">
      <c r="A39" s="587">
        <v>23</v>
      </c>
      <c r="B39" s="588" t="s">
        <v>251</v>
      </c>
      <c r="C39" s="587">
        <v>2</v>
      </c>
      <c r="D39" s="587" t="s">
        <v>115</v>
      </c>
      <c r="E39" s="587">
        <f>$T$13</f>
        <v>1.35</v>
      </c>
      <c r="F39" s="589">
        <v>51.14</v>
      </c>
      <c r="G39" s="590">
        <f>ROUND(F39*$Y$5,2)</f>
        <v>8425.32</v>
      </c>
      <c r="H39" s="590">
        <f>C39*G39</f>
        <v>16850.64</v>
      </c>
      <c r="I39" s="594">
        <v>0.04</v>
      </c>
      <c r="J39" s="590">
        <f>ROUND(H39*I39,2)</f>
        <v>674.03</v>
      </c>
      <c r="K39" s="590"/>
      <c r="L39" s="590"/>
      <c r="M39" s="590"/>
      <c r="N39" s="590">
        <f>SUM(H39,J39:M39)</f>
        <v>17524.669999999998</v>
      </c>
      <c r="O39" s="590">
        <f t="shared" si="6"/>
        <v>87623.349999999991</v>
      </c>
      <c r="P39" s="559" t="s">
        <v>370</v>
      </c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</row>
    <row r="40" spans="1:27" s="564" customFormat="1" ht="30" customHeight="1" x14ac:dyDescent="0.25">
      <c r="A40" s="618" t="s">
        <v>313</v>
      </c>
      <c r="B40" s="618"/>
      <c r="C40" s="591">
        <f>SUM(C35:C39)</f>
        <v>16</v>
      </c>
      <c r="D40" s="596"/>
      <c r="E40" s="596"/>
      <c r="F40" s="596"/>
      <c r="G40" s="592"/>
      <c r="H40" s="592">
        <f>SUM(H35:H39)</f>
        <v>120572.64</v>
      </c>
      <c r="I40" s="592"/>
      <c r="J40" s="592">
        <f>SUM(J30:J39)</f>
        <v>3549.63</v>
      </c>
      <c r="K40" s="592"/>
      <c r="L40" s="592"/>
      <c r="M40" s="592"/>
      <c r="N40" s="592">
        <f>SUM(N35:N39)</f>
        <v>124122.27</v>
      </c>
      <c r="O40" s="592">
        <f>SUM(O35:O39)</f>
        <v>620611.35</v>
      </c>
      <c r="P40" s="559">
        <f>N34+N40</f>
        <v>176807.27000000002</v>
      </c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</row>
    <row r="41" spans="1:27" s="564" customFormat="1" ht="30" customHeight="1" x14ac:dyDescent="0.25">
      <c r="A41" s="618" t="s">
        <v>16</v>
      </c>
      <c r="B41" s="618"/>
      <c r="C41" s="591">
        <f>C34+C40</f>
        <v>21</v>
      </c>
      <c r="D41" s="591"/>
      <c r="E41" s="591"/>
      <c r="F41" s="591"/>
      <c r="G41" s="591"/>
      <c r="H41" s="591">
        <f t="shared" ref="H41:J41" si="8">H34+H40</f>
        <v>173257.64</v>
      </c>
      <c r="I41" s="591"/>
      <c r="J41" s="591">
        <f t="shared" si="8"/>
        <v>3549.63</v>
      </c>
      <c r="K41" s="591"/>
      <c r="L41" s="591"/>
      <c r="M41" s="591"/>
      <c r="N41" s="592">
        <f>H41+J41+K41+L41+M41</f>
        <v>176807.27000000002</v>
      </c>
      <c r="O41" s="592">
        <f>N41*$O$13</f>
        <v>884036.35000000009</v>
      </c>
      <c r="P41" s="566">
        <f>ROUND(O41*22%,2)</f>
        <v>194488</v>
      </c>
      <c r="Q41" s="578" t="s">
        <v>367</v>
      </c>
      <c r="R41" s="578"/>
      <c r="S41" s="578"/>
      <c r="T41" s="578"/>
      <c r="U41" s="578"/>
      <c r="V41" s="578"/>
      <c r="W41" s="578"/>
      <c r="X41" s="578"/>
      <c r="Y41" s="606"/>
      <c r="Z41" s="578"/>
      <c r="AA41" s="578"/>
    </row>
    <row r="42" spans="1:27" s="564" customFormat="1" ht="30" customHeight="1" x14ac:dyDescent="0.25">
      <c r="A42" s="619" t="s">
        <v>314</v>
      </c>
      <c r="B42" s="619"/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559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</row>
    <row r="43" spans="1:27" s="564" customFormat="1" ht="27" customHeight="1" x14ac:dyDescent="0.25">
      <c r="A43" s="587">
        <v>24</v>
      </c>
      <c r="B43" s="588" t="s">
        <v>35</v>
      </c>
      <c r="C43" s="587">
        <v>1</v>
      </c>
      <c r="D43" s="587">
        <v>2.4</v>
      </c>
      <c r="E43" s="587"/>
      <c r="F43" s="587"/>
      <c r="G43" s="590">
        <f>ROUND($Y$2*$Y$3*D43*$Y$4,0)</f>
        <v>13171</v>
      </c>
      <c r="H43" s="590">
        <f t="shared" ref="H43:H49" si="9">C43*G43</f>
        <v>13171</v>
      </c>
      <c r="I43" s="590"/>
      <c r="J43" s="590"/>
      <c r="K43" s="590"/>
      <c r="L43" s="590"/>
      <c r="M43" s="590"/>
      <c r="N43" s="590">
        <f t="shared" ref="N43:N44" si="10">H43+J43+K43+L43+M43</f>
        <v>13171</v>
      </c>
      <c r="O43" s="590">
        <f t="shared" ref="O43:O49" si="11">N43*$O$13</f>
        <v>65855</v>
      </c>
      <c r="P43" s="559"/>
      <c r="Q43" s="578"/>
      <c r="R43" s="563"/>
      <c r="S43" s="578"/>
      <c r="T43" s="578"/>
      <c r="U43" s="578"/>
      <c r="V43" s="578"/>
      <c r="W43" s="578"/>
      <c r="X43" s="578"/>
      <c r="Y43" s="578"/>
      <c r="Z43" s="578"/>
      <c r="AA43" s="578"/>
    </row>
    <row r="44" spans="1:27" s="564" customFormat="1" ht="27" customHeight="1" x14ac:dyDescent="0.25">
      <c r="A44" s="587">
        <v>25</v>
      </c>
      <c r="B44" s="588" t="s">
        <v>315</v>
      </c>
      <c r="C44" s="587">
        <v>1</v>
      </c>
      <c r="D44" s="587">
        <v>2.4</v>
      </c>
      <c r="E44" s="587"/>
      <c r="F44" s="587"/>
      <c r="G44" s="590">
        <f>ROUND($Y$2*$Y$3*D44*$Y$4,0)</f>
        <v>13171</v>
      </c>
      <c r="H44" s="590">
        <f t="shared" si="9"/>
        <v>13171</v>
      </c>
      <c r="I44" s="590"/>
      <c r="J44" s="590"/>
      <c r="K44" s="590"/>
      <c r="L44" s="590"/>
      <c r="M44" s="590"/>
      <c r="N44" s="590">
        <f t="shared" si="10"/>
        <v>13171</v>
      </c>
      <c r="O44" s="590">
        <f t="shared" si="11"/>
        <v>65855</v>
      </c>
      <c r="P44" s="559"/>
      <c r="Q44" s="578"/>
      <c r="R44" s="563"/>
      <c r="S44" s="578"/>
      <c r="T44" s="578"/>
      <c r="U44" s="578"/>
      <c r="V44" s="578"/>
      <c r="W44" s="578"/>
      <c r="X44" s="578"/>
      <c r="Y44" s="578"/>
      <c r="Z44" s="578"/>
      <c r="AA44" s="578"/>
    </row>
    <row r="45" spans="1:27" s="564" customFormat="1" ht="27" customHeight="1" x14ac:dyDescent="0.25">
      <c r="A45" s="618" t="s">
        <v>316</v>
      </c>
      <c r="B45" s="618"/>
      <c r="C45" s="618"/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559"/>
      <c r="Q45" s="578"/>
      <c r="R45" s="563"/>
      <c r="S45" s="578"/>
      <c r="T45" s="578"/>
      <c r="U45" s="578"/>
      <c r="V45" s="578"/>
      <c r="W45" s="578"/>
      <c r="X45" s="578"/>
      <c r="Y45" s="578"/>
      <c r="Z45" s="578"/>
      <c r="AA45" s="578"/>
    </row>
    <row r="46" spans="1:27" s="564" customFormat="1" ht="36.75" customHeight="1" x14ac:dyDescent="0.25">
      <c r="A46" s="587">
        <v>26</v>
      </c>
      <c r="B46" s="588" t="s">
        <v>317</v>
      </c>
      <c r="C46" s="587">
        <v>1</v>
      </c>
      <c r="D46" s="589">
        <v>2.4</v>
      </c>
      <c r="E46" s="587"/>
      <c r="F46" s="587"/>
      <c r="G46" s="590">
        <f>ROUND($Y$2*$Y$3*D46*$Y$4,0)</f>
        <v>13171</v>
      </c>
      <c r="H46" s="590">
        <f t="shared" si="9"/>
        <v>13171</v>
      </c>
      <c r="I46" s="590"/>
      <c r="J46" s="590"/>
      <c r="K46" s="590"/>
      <c r="L46" s="590"/>
      <c r="M46" s="590"/>
      <c r="N46" s="590">
        <f t="shared" ref="N46:N49" si="12">H46+J46+K46+L46+M46</f>
        <v>13171</v>
      </c>
      <c r="O46" s="590">
        <f t="shared" si="11"/>
        <v>65855</v>
      </c>
      <c r="P46" s="559"/>
      <c r="Q46" s="578"/>
      <c r="R46" s="563"/>
      <c r="S46" s="578"/>
      <c r="T46" s="578"/>
      <c r="U46" s="578"/>
      <c r="V46" s="578"/>
      <c r="W46" s="578"/>
      <c r="X46" s="578"/>
      <c r="Y46" s="578"/>
      <c r="Z46" s="578"/>
      <c r="AA46" s="578"/>
    </row>
    <row r="47" spans="1:27" s="564" customFormat="1" ht="37.5" customHeight="1" x14ac:dyDescent="0.25">
      <c r="A47" s="587">
        <v>27</v>
      </c>
      <c r="B47" s="588" t="s">
        <v>37</v>
      </c>
      <c r="C47" s="587">
        <v>1</v>
      </c>
      <c r="D47" s="589">
        <v>1.9</v>
      </c>
      <c r="E47" s="587"/>
      <c r="F47" s="587"/>
      <c r="G47" s="590">
        <f>ROUND($Y$2*$Y$3*D47*$Y$4,0)</f>
        <v>10427</v>
      </c>
      <c r="H47" s="590">
        <f t="shared" si="9"/>
        <v>10427</v>
      </c>
      <c r="I47" s="590"/>
      <c r="J47" s="590"/>
      <c r="K47" s="590"/>
      <c r="L47" s="590"/>
      <c r="M47" s="590"/>
      <c r="N47" s="590">
        <f t="shared" si="12"/>
        <v>10427</v>
      </c>
      <c r="O47" s="590">
        <f t="shared" si="11"/>
        <v>52135</v>
      </c>
      <c r="P47" s="559"/>
      <c r="Q47" s="578"/>
      <c r="R47" s="563"/>
      <c r="S47" s="578"/>
      <c r="T47" s="578"/>
      <c r="U47" s="578"/>
      <c r="V47" s="578"/>
      <c r="W47" s="578"/>
      <c r="X47" s="578"/>
      <c r="Y47" s="578"/>
      <c r="Z47" s="578"/>
      <c r="AA47" s="578"/>
    </row>
    <row r="48" spans="1:27" s="564" customFormat="1" ht="26.25" customHeight="1" x14ac:dyDescent="0.25">
      <c r="A48" s="587">
        <v>28</v>
      </c>
      <c r="B48" s="588" t="s">
        <v>38</v>
      </c>
      <c r="C48" s="587">
        <v>1</v>
      </c>
      <c r="D48" s="589">
        <v>1.9</v>
      </c>
      <c r="E48" s="587"/>
      <c r="F48" s="587"/>
      <c r="G48" s="590">
        <f>ROUND($Y$2*$Y$3*D48*$Y$4,0)</f>
        <v>10427</v>
      </c>
      <c r="H48" s="590">
        <f t="shared" si="9"/>
        <v>10427</v>
      </c>
      <c r="I48" s="590"/>
      <c r="J48" s="590"/>
      <c r="K48" s="590"/>
      <c r="L48" s="590"/>
      <c r="M48" s="590"/>
      <c r="N48" s="590">
        <f t="shared" si="12"/>
        <v>10427</v>
      </c>
      <c r="O48" s="590">
        <f t="shared" si="11"/>
        <v>52135</v>
      </c>
      <c r="P48" s="559"/>
      <c r="Q48" s="578"/>
      <c r="R48" s="563"/>
      <c r="S48" s="578"/>
      <c r="T48" s="578"/>
      <c r="U48" s="578"/>
      <c r="V48" s="578"/>
      <c r="W48" s="578"/>
      <c r="X48" s="578"/>
      <c r="Y48" s="578"/>
      <c r="Z48" s="578"/>
      <c r="AA48" s="578"/>
    </row>
    <row r="49" spans="1:27" s="564" customFormat="1" ht="26.25" customHeight="1" x14ac:dyDescent="0.25">
      <c r="A49" s="587">
        <v>29</v>
      </c>
      <c r="B49" s="588" t="s">
        <v>253</v>
      </c>
      <c r="C49" s="587">
        <v>0.5</v>
      </c>
      <c r="D49" s="589">
        <v>1.45</v>
      </c>
      <c r="E49" s="587"/>
      <c r="F49" s="587"/>
      <c r="G49" s="590">
        <f>ROUND($Y$2*$Y$3*D49*$Y$4,0)</f>
        <v>7958</v>
      </c>
      <c r="H49" s="590">
        <f t="shared" si="9"/>
        <v>3979</v>
      </c>
      <c r="I49" s="590"/>
      <c r="J49" s="590"/>
      <c r="K49" s="590"/>
      <c r="L49" s="590"/>
      <c r="M49" s="590"/>
      <c r="N49" s="590">
        <f t="shared" si="12"/>
        <v>3979</v>
      </c>
      <c r="O49" s="590">
        <f t="shared" si="11"/>
        <v>19895</v>
      </c>
      <c r="P49" s="559"/>
      <c r="Q49" s="578"/>
      <c r="R49" s="563"/>
      <c r="S49" s="578"/>
      <c r="T49" s="578"/>
      <c r="U49" s="578"/>
      <c r="V49" s="578"/>
      <c r="W49" s="578"/>
      <c r="X49" s="578"/>
      <c r="Y49" s="578"/>
      <c r="Z49" s="578"/>
      <c r="AA49" s="578"/>
    </row>
    <row r="50" spans="1:27" s="564" customFormat="1" ht="30" customHeight="1" x14ac:dyDescent="0.25">
      <c r="A50" s="618" t="s">
        <v>311</v>
      </c>
      <c r="B50" s="618"/>
      <c r="C50" s="591">
        <f>SUM(C43:C49)</f>
        <v>5.5</v>
      </c>
      <c r="D50" s="591"/>
      <c r="E50" s="591"/>
      <c r="F50" s="591"/>
      <c r="G50" s="592"/>
      <c r="H50" s="592">
        <f>SUM(H43:H49)</f>
        <v>64346</v>
      </c>
      <c r="I50" s="592"/>
      <c r="J50" s="592"/>
      <c r="K50" s="592"/>
      <c r="L50" s="592"/>
      <c r="M50" s="592"/>
      <c r="N50" s="592">
        <f>SUM(N43:N49)</f>
        <v>64346</v>
      </c>
      <c r="O50" s="592">
        <f>SUM(O43:O49)</f>
        <v>321730</v>
      </c>
      <c r="P50" s="559"/>
      <c r="Q50" s="578"/>
      <c r="R50" s="578"/>
      <c r="S50" s="578"/>
      <c r="T50" s="578"/>
      <c r="U50" s="578"/>
      <c r="V50" s="578"/>
      <c r="W50" s="578"/>
      <c r="X50" s="578"/>
      <c r="Y50" s="578"/>
      <c r="Z50" s="578"/>
      <c r="AA50" s="578"/>
    </row>
    <row r="51" spans="1:27" s="564" customFormat="1" ht="27.75" customHeight="1" x14ac:dyDescent="0.25">
      <c r="A51" s="618" t="s">
        <v>45</v>
      </c>
      <c r="B51" s="618"/>
      <c r="C51" s="618"/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559"/>
      <c r="Q51" s="578"/>
      <c r="R51" s="578"/>
      <c r="S51" s="578"/>
      <c r="T51" s="578"/>
      <c r="U51" s="578"/>
      <c r="V51" s="578"/>
      <c r="W51" s="578"/>
      <c r="X51" s="578"/>
      <c r="Y51" s="578"/>
      <c r="Z51" s="578"/>
      <c r="AA51" s="578"/>
    </row>
    <row r="52" spans="1:27" s="564" customFormat="1" ht="27" customHeight="1" x14ac:dyDescent="0.25">
      <c r="A52" s="587">
        <v>30</v>
      </c>
      <c r="B52" s="588" t="s">
        <v>118</v>
      </c>
      <c r="C52" s="587">
        <v>1</v>
      </c>
      <c r="D52" s="587">
        <v>2.2999999999999998</v>
      </c>
      <c r="E52" s="587"/>
      <c r="F52" s="587"/>
      <c r="G52" s="590">
        <f>ROUND($Y$2*$Y$3*D52*$Y$4,0)</f>
        <v>12622</v>
      </c>
      <c r="H52" s="590">
        <f>C52*G52</f>
        <v>12622</v>
      </c>
      <c r="I52" s="590"/>
      <c r="J52" s="590"/>
      <c r="K52" s="590"/>
      <c r="L52" s="590"/>
      <c r="M52" s="590"/>
      <c r="N52" s="590">
        <f t="shared" ref="N52:N53" si="13">H52+J52+K52+L52+M52</f>
        <v>12622</v>
      </c>
      <c r="O52" s="590">
        <f t="shared" ref="O52:O53" si="14">N52*$O$13</f>
        <v>63110</v>
      </c>
      <c r="P52" s="559"/>
      <c r="Q52" s="578"/>
      <c r="R52" s="578"/>
      <c r="S52" s="578"/>
      <c r="T52" s="578"/>
      <c r="U52" s="578"/>
      <c r="V52" s="578"/>
      <c r="W52" s="578"/>
      <c r="X52" s="578"/>
      <c r="Y52" s="578"/>
      <c r="Z52" s="578"/>
      <c r="AA52" s="578"/>
    </row>
    <row r="53" spans="1:27" s="564" customFormat="1" ht="27" customHeight="1" x14ac:dyDescent="0.25">
      <c r="A53" s="587">
        <v>31</v>
      </c>
      <c r="B53" s="588" t="s">
        <v>46</v>
      </c>
      <c r="C53" s="587">
        <v>1</v>
      </c>
      <c r="D53" s="589">
        <v>1.65</v>
      </c>
      <c r="E53" s="587"/>
      <c r="F53" s="587"/>
      <c r="G53" s="590">
        <f>ROUND($Y$2*$Y$3*D53*$Y$4,0)</f>
        <v>9055</v>
      </c>
      <c r="H53" s="590">
        <f>C53*G53</f>
        <v>9055</v>
      </c>
      <c r="I53" s="590"/>
      <c r="J53" s="590"/>
      <c r="K53" s="590"/>
      <c r="L53" s="590"/>
      <c r="M53" s="590"/>
      <c r="N53" s="590">
        <f t="shared" si="13"/>
        <v>9055</v>
      </c>
      <c r="O53" s="590">
        <f t="shared" si="14"/>
        <v>45275</v>
      </c>
      <c r="P53" s="559"/>
      <c r="Q53" s="563"/>
      <c r="R53" s="578"/>
      <c r="S53" s="578"/>
      <c r="T53" s="578"/>
      <c r="U53" s="578"/>
      <c r="V53" s="578"/>
      <c r="W53" s="578"/>
      <c r="X53" s="578"/>
      <c r="Y53" s="578"/>
      <c r="Z53" s="578"/>
      <c r="AA53" s="578"/>
    </row>
    <row r="54" spans="1:27" s="564" customFormat="1" ht="30" customHeight="1" x14ac:dyDescent="0.25">
      <c r="A54" s="618" t="s">
        <v>311</v>
      </c>
      <c r="B54" s="618"/>
      <c r="C54" s="591">
        <f>C52+C53</f>
        <v>2</v>
      </c>
      <c r="D54" s="591"/>
      <c r="E54" s="591"/>
      <c r="F54" s="591"/>
      <c r="G54" s="592"/>
      <c r="H54" s="592">
        <f>SUM(H52:H53)</f>
        <v>21677</v>
      </c>
      <c r="I54" s="592"/>
      <c r="J54" s="592"/>
      <c r="K54" s="592"/>
      <c r="L54" s="592"/>
      <c r="M54" s="592"/>
      <c r="N54" s="592">
        <f>N52+N53</f>
        <v>21677</v>
      </c>
      <c r="O54" s="592">
        <f>O52+O53</f>
        <v>108385</v>
      </c>
      <c r="P54" s="559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</row>
    <row r="55" spans="1:27" s="564" customFormat="1" ht="38.25" customHeight="1" x14ac:dyDescent="0.25">
      <c r="A55" s="587">
        <v>32</v>
      </c>
      <c r="B55" s="588" t="s">
        <v>119</v>
      </c>
      <c r="C55" s="587">
        <v>5</v>
      </c>
      <c r="D55" s="587" t="s">
        <v>70</v>
      </c>
      <c r="E55" s="587">
        <f>$S$13</f>
        <v>1.2</v>
      </c>
      <c r="F55" s="589">
        <v>45.45</v>
      </c>
      <c r="G55" s="590">
        <f>ROUND(F55*$Y$5,2)</f>
        <v>7487.89</v>
      </c>
      <c r="H55" s="590">
        <f>C55*G55</f>
        <v>37439.450000000004</v>
      </c>
      <c r="I55" s="594">
        <v>0.04</v>
      </c>
      <c r="J55" s="590">
        <f>ROUND(H55*I55,2)</f>
        <v>1497.58</v>
      </c>
      <c r="K55" s="590"/>
      <c r="L55" s="590">
        <f>ROUND(((F55*53.23)*35%)*C55,2)</f>
        <v>4233.78</v>
      </c>
      <c r="M55" s="590">
        <f>ROUND((F55*5.5)*C55,2)</f>
        <v>1249.8800000000001</v>
      </c>
      <c r="N55" s="590">
        <f t="shared" ref="N55" si="15">H55+J55+K55+L55+M55</f>
        <v>44420.69</v>
      </c>
      <c r="O55" s="590">
        <f t="shared" ref="O55" si="16">N55*$O$13</f>
        <v>222103.45</v>
      </c>
      <c r="P55" s="559"/>
      <c r="Q55" s="563"/>
      <c r="R55" s="578"/>
      <c r="S55" s="578"/>
      <c r="T55" s="578"/>
      <c r="U55" s="578"/>
      <c r="V55" s="578"/>
      <c r="W55" s="578"/>
      <c r="X55" s="578"/>
      <c r="Y55" s="578"/>
      <c r="Z55" s="578"/>
      <c r="AA55" s="578"/>
    </row>
    <row r="56" spans="1:27" s="564" customFormat="1" ht="27" customHeight="1" x14ac:dyDescent="0.25">
      <c r="A56" s="618" t="s">
        <v>313</v>
      </c>
      <c r="B56" s="618"/>
      <c r="C56" s="591">
        <f>C55</f>
        <v>5</v>
      </c>
      <c r="D56" s="591"/>
      <c r="E56" s="591"/>
      <c r="F56" s="591"/>
      <c r="G56" s="592">
        <f>SUM(G55)</f>
        <v>7487.89</v>
      </c>
      <c r="H56" s="592">
        <f t="shared" ref="H56:M56" si="17">SUM(H55)</f>
        <v>37439.450000000004</v>
      </c>
      <c r="I56" s="592"/>
      <c r="J56" s="592">
        <f t="shared" si="17"/>
        <v>1497.58</v>
      </c>
      <c r="K56" s="592"/>
      <c r="L56" s="592">
        <f t="shared" si="17"/>
        <v>4233.78</v>
      </c>
      <c r="M56" s="592">
        <f t="shared" si="17"/>
        <v>1249.8800000000001</v>
      </c>
      <c r="N56" s="592">
        <f>N55</f>
        <v>44420.69</v>
      </c>
      <c r="O56" s="592">
        <f>O55</f>
        <v>222103.45</v>
      </c>
      <c r="P56" s="559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</row>
    <row r="57" spans="1:27" s="564" customFormat="1" ht="47.25" customHeight="1" x14ac:dyDescent="0.25">
      <c r="A57" s="618" t="s">
        <v>318</v>
      </c>
      <c r="B57" s="618"/>
      <c r="C57" s="591">
        <f>C54+C56</f>
        <v>7</v>
      </c>
      <c r="D57" s="591"/>
      <c r="E57" s="591"/>
      <c r="F57" s="591"/>
      <c r="G57" s="592"/>
      <c r="H57" s="592">
        <f t="shared" ref="H57:M57" si="18">H54+H56</f>
        <v>59116.450000000004</v>
      </c>
      <c r="I57" s="592"/>
      <c r="J57" s="592">
        <f t="shared" si="18"/>
        <v>1497.58</v>
      </c>
      <c r="K57" s="592"/>
      <c r="L57" s="592">
        <f t="shared" si="18"/>
        <v>4233.78</v>
      </c>
      <c r="M57" s="592">
        <f t="shared" si="18"/>
        <v>1249.8800000000001</v>
      </c>
      <c r="N57" s="592">
        <f>N54+N56</f>
        <v>66097.69</v>
      </c>
      <c r="O57" s="592">
        <f>O54+O56</f>
        <v>330488.45</v>
      </c>
      <c r="P57" s="559"/>
      <c r="Q57" s="578"/>
      <c r="R57" s="578"/>
      <c r="S57" s="578"/>
      <c r="T57" s="578"/>
      <c r="U57" s="578"/>
      <c r="V57" s="578"/>
      <c r="W57" s="578"/>
      <c r="X57" s="578"/>
      <c r="Y57" s="578"/>
      <c r="Z57" s="578"/>
      <c r="AA57" s="578"/>
    </row>
    <row r="58" spans="1:27" s="564" customFormat="1" ht="27" customHeight="1" x14ac:dyDescent="0.25">
      <c r="A58" s="618" t="s">
        <v>65</v>
      </c>
      <c r="B58" s="618"/>
      <c r="C58" s="618"/>
      <c r="D58" s="618"/>
      <c r="E58" s="618"/>
      <c r="F58" s="618"/>
      <c r="G58" s="618"/>
      <c r="H58" s="618"/>
      <c r="I58" s="618"/>
      <c r="J58" s="618"/>
      <c r="K58" s="618"/>
      <c r="L58" s="618"/>
      <c r="M58" s="618"/>
      <c r="N58" s="618"/>
      <c r="O58" s="618"/>
      <c r="P58" s="559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</row>
    <row r="59" spans="1:27" s="564" customFormat="1" ht="29.25" customHeight="1" x14ac:dyDescent="0.25">
      <c r="A59" s="587">
        <v>33</v>
      </c>
      <c r="B59" s="588" t="s">
        <v>118</v>
      </c>
      <c r="C59" s="587">
        <v>1</v>
      </c>
      <c r="D59" s="587">
        <v>2.2999999999999998</v>
      </c>
      <c r="E59" s="587"/>
      <c r="F59" s="587"/>
      <c r="G59" s="590">
        <f>ROUND($Y$2*$Y$3*D59*$Y$4,0)</f>
        <v>12622</v>
      </c>
      <c r="H59" s="590">
        <f>C59*G59</f>
        <v>12622</v>
      </c>
      <c r="I59" s="590"/>
      <c r="J59" s="590"/>
      <c r="K59" s="590"/>
      <c r="L59" s="590"/>
      <c r="M59" s="590"/>
      <c r="N59" s="590">
        <f t="shared" ref="N59:N60" si="19">H59+J59+K59+L59+M59</f>
        <v>12622</v>
      </c>
      <c r="O59" s="590">
        <f t="shared" ref="O59:O60" si="20">N59*$O$13</f>
        <v>63110</v>
      </c>
      <c r="P59" s="559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</row>
    <row r="60" spans="1:27" s="564" customFormat="1" ht="29.25" customHeight="1" x14ac:dyDescent="0.25">
      <c r="A60" s="587">
        <v>34</v>
      </c>
      <c r="B60" s="588" t="s">
        <v>46</v>
      </c>
      <c r="C60" s="587">
        <v>1</v>
      </c>
      <c r="D60" s="590">
        <v>1.65</v>
      </c>
      <c r="E60" s="587"/>
      <c r="F60" s="587"/>
      <c r="G60" s="590">
        <f>ROUND($Y$2*$Y$3*D60*$Y$4,0)</f>
        <v>9055</v>
      </c>
      <c r="H60" s="590">
        <f>C60*G60</f>
        <v>9055</v>
      </c>
      <c r="I60" s="590"/>
      <c r="J60" s="590"/>
      <c r="K60" s="590"/>
      <c r="L60" s="590"/>
      <c r="M60" s="590"/>
      <c r="N60" s="590">
        <f t="shared" si="19"/>
        <v>9055</v>
      </c>
      <c r="O60" s="590">
        <f t="shared" si="20"/>
        <v>45275</v>
      </c>
      <c r="P60" s="559">
        <f>O60</f>
        <v>45275</v>
      </c>
      <c r="Q60" s="563">
        <f>ROUND(P60*8.41%,2)</f>
        <v>3807.63</v>
      </c>
      <c r="R60" s="578" t="s">
        <v>319</v>
      </c>
      <c r="S60" s="578" t="s">
        <v>371</v>
      </c>
      <c r="T60" s="578"/>
      <c r="U60" s="578"/>
      <c r="V60" s="578"/>
      <c r="W60" s="578"/>
      <c r="X60" s="578"/>
      <c r="Y60" s="578"/>
      <c r="Z60" s="578"/>
      <c r="AA60" s="578"/>
    </row>
    <row r="61" spans="1:27" s="564" customFormat="1" ht="37.5" customHeight="1" x14ac:dyDescent="0.25">
      <c r="A61" s="618" t="s">
        <v>320</v>
      </c>
      <c r="B61" s="618"/>
      <c r="C61" s="591">
        <f>C59+C60</f>
        <v>2</v>
      </c>
      <c r="D61" s="591"/>
      <c r="E61" s="591"/>
      <c r="F61" s="591"/>
      <c r="G61" s="592">
        <f>SUM(G59:G60)</f>
        <v>21677</v>
      </c>
      <c r="H61" s="592">
        <f t="shared" ref="H61" si="21">SUM(H59:H60)</f>
        <v>21677</v>
      </c>
      <c r="I61" s="592"/>
      <c r="J61" s="592"/>
      <c r="K61" s="592"/>
      <c r="L61" s="592"/>
      <c r="M61" s="592"/>
      <c r="N61" s="592">
        <f>N59+N60</f>
        <v>21677</v>
      </c>
      <c r="O61" s="592">
        <f>O59+O60</f>
        <v>108385</v>
      </c>
      <c r="P61" s="559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</row>
    <row r="62" spans="1:27" s="564" customFormat="1" ht="39.75" customHeight="1" x14ac:dyDescent="0.25">
      <c r="A62" s="587">
        <v>35</v>
      </c>
      <c r="B62" s="588" t="s">
        <v>47</v>
      </c>
      <c r="C62" s="587">
        <v>2</v>
      </c>
      <c r="D62" s="587" t="s">
        <v>70</v>
      </c>
      <c r="E62" s="587">
        <f>$S$13</f>
        <v>1.2</v>
      </c>
      <c r="F62" s="589">
        <v>45.45</v>
      </c>
      <c r="G62" s="590">
        <f>ROUND(F62*$Y$5,2)</f>
        <v>7487.89</v>
      </c>
      <c r="H62" s="590">
        <f>C62*G62</f>
        <v>14975.78</v>
      </c>
      <c r="I62" s="594">
        <v>0.04</v>
      </c>
      <c r="J62" s="590">
        <f>ROUND(H62*I62,2)</f>
        <v>599.03</v>
      </c>
      <c r="K62" s="590"/>
      <c r="L62" s="590"/>
      <c r="M62" s="590"/>
      <c r="N62" s="590">
        <f t="shared" ref="N62" si="22">H62+J62+K62+L62+M62</f>
        <v>15574.810000000001</v>
      </c>
      <c r="O62" s="590">
        <f t="shared" ref="O62" si="23">N62*$O$13</f>
        <v>77874.05</v>
      </c>
      <c r="P62" s="559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</row>
    <row r="63" spans="1:27" s="564" customFormat="1" ht="44.25" customHeight="1" x14ac:dyDescent="0.25">
      <c r="A63" s="618" t="s">
        <v>321</v>
      </c>
      <c r="B63" s="618"/>
      <c r="C63" s="591">
        <f>C62</f>
        <v>2</v>
      </c>
      <c r="D63" s="591"/>
      <c r="E63" s="591"/>
      <c r="F63" s="591"/>
      <c r="G63" s="592">
        <f>SUM(G62)</f>
        <v>7487.89</v>
      </c>
      <c r="H63" s="592">
        <f t="shared" ref="H63:J63" si="24">SUM(H62)</f>
        <v>14975.78</v>
      </c>
      <c r="I63" s="592"/>
      <c r="J63" s="592">
        <f t="shared" si="24"/>
        <v>599.03</v>
      </c>
      <c r="K63" s="592"/>
      <c r="L63" s="592"/>
      <c r="M63" s="592"/>
      <c r="N63" s="592">
        <f>N62</f>
        <v>15574.810000000001</v>
      </c>
      <c r="O63" s="592">
        <f>O62</f>
        <v>77874.05</v>
      </c>
      <c r="P63" s="559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</row>
    <row r="64" spans="1:27" s="564" customFormat="1" ht="44.25" customHeight="1" x14ac:dyDescent="0.25">
      <c r="A64" s="618" t="s">
        <v>322</v>
      </c>
      <c r="B64" s="618"/>
      <c r="C64" s="591">
        <f>C61+C63</f>
        <v>4</v>
      </c>
      <c r="D64" s="591"/>
      <c r="E64" s="591"/>
      <c r="F64" s="591"/>
      <c r="G64" s="592"/>
      <c r="H64" s="592">
        <f t="shared" ref="H64:J64" si="25">H61+H63</f>
        <v>36652.78</v>
      </c>
      <c r="I64" s="592"/>
      <c r="J64" s="592">
        <f t="shared" si="25"/>
        <v>599.03</v>
      </c>
      <c r="K64" s="592"/>
      <c r="L64" s="592"/>
      <c r="M64" s="592"/>
      <c r="N64" s="592">
        <f>N61+N63</f>
        <v>37251.81</v>
      </c>
      <c r="O64" s="592">
        <f>O61+O63</f>
        <v>186259.05</v>
      </c>
      <c r="P64" s="559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</row>
    <row r="65" spans="1:27" s="573" customFormat="1" ht="30.75" customHeight="1" x14ac:dyDescent="0.25">
      <c r="A65" s="618" t="s">
        <v>48</v>
      </c>
      <c r="B65" s="618"/>
      <c r="C65" s="618"/>
      <c r="D65" s="618"/>
      <c r="E65" s="618"/>
      <c r="F65" s="618"/>
      <c r="G65" s="618"/>
      <c r="H65" s="618"/>
      <c r="I65" s="618"/>
      <c r="J65" s="618"/>
      <c r="K65" s="618"/>
      <c r="L65" s="618"/>
      <c r="M65" s="618"/>
      <c r="N65" s="618"/>
      <c r="O65" s="618"/>
      <c r="P65" s="601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</row>
    <row r="66" spans="1:27" s="573" customFormat="1" ht="26.25" customHeight="1" x14ac:dyDescent="0.25">
      <c r="A66" s="587">
        <v>36</v>
      </c>
      <c r="B66" s="588" t="s">
        <v>49</v>
      </c>
      <c r="C66" s="587">
        <v>1</v>
      </c>
      <c r="D66" s="595">
        <v>1.9</v>
      </c>
      <c r="E66" s="587"/>
      <c r="F66" s="587"/>
      <c r="G66" s="590">
        <f>ROUND($Y$2*$Y$3*D66*$Y$4,0)</f>
        <v>10427</v>
      </c>
      <c r="H66" s="590">
        <f>C66*G66</f>
        <v>10427</v>
      </c>
      <c r="I66" s="590"/>
      <c r="J66" s="590"/>
      <c r="K66" s="590"/>
      <c r="L66" s="590"/>
      <c r="M66" s="590"/>
      <c r="N66" s="590">
        <f t="shared" ref="N66" si="26">H66+J66+K66+L66+M66</f>
        <v>10427</v>
      </c>
      <c r="O66" s="590">
        <f t="shared" ref="O66:O73" si="27">N66*$O$13</f>
        <v>52135</v>
      </c>
      <c r="P66" s="601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</row>
    <row r="67" spans="1:27" s="573" customFormat="1" ht="30.75" customHeight="1" x14ac:dyDescent="0.25">
      <c r="A67" s="618" t="s">
        <v>323</v>
      </c>
      <c r="B67" s="618"/>
      <c r="C67" s="591">
        <f>C66</f>
        <v>1</v>
      </c>
      <c r="D67" s="591"/>
      <c r="E67" s="591"/>
      <c r="F67" s="591"/>
      <c r="G67" s="592"/>
      <c r="H67" s="592">
        <f>H66</f>
        <v>10427</v>
      </c>
      <c r="I67" s="592"/>
      <c r="J67" s="592"/>
      <c r="K67" s="592"/>
      <c r="L67" s="592"/>
      <c r="M67" s="592"/>
      <c r="N67" s="592">
        <f>N66</f>
        <v>10427</v>
      </c>
      <c r="O67" s="592">
        <f>O66</f>
        <v>52135</v>
      </c>
      <c r="P67" s="601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</row>
    <row r="68" spans="1:27" s="573" customFormat="1" ht="57.75" customHeight="1" x14ac:dyDescent="0.25">
      <c r="A68" s="587">
        <v>37</v>
      </c>
      <c r="B68" s="588" t="s">
        <v>122</v>
      </c>
      <c r="C68" s="587">
        <v>1</v>
      </c>
      <c r="D68" s="587" t="s">
        <v>123</v>
      </c>
      <c r="E68" s="587">
        <f>$U$13</f>
        <v>1.54</v>
      </c>
      <c r="F68" s="589">
        <v>58.33</v>
      </c>
      <c r="G68" s="590">
        <f>ROUND(F68*$Y$5,2)</f>
        <v>9609.8700000000008</v>
      </c>
      <c r="H68" s="590">
        <f t="shared" ref="H68:H73" si="28">C68*G68</f>
        <v>9609.8700000000008</v>
      </c>
      <c r="I68" s="594">
        <v>0.04</v>
      </c>
      <c r="J68" s="590">
        <f t="shared" ref="J68:J73" si="29">ROUND(H68*I68,2)</f>
        <v>384.39</v>
      </c>
      <c r="K68" s="590"/>
      <c r="L68" s="590"/>
      <c r="M68" s="590"/>
      <c r="N68" s="590">
        <f t="shared" ref="N68:N73" si="30">H68+J68+K68+L68+M68</f>
        <v>9994.26</v>
      </c>
      <c r="O68" s="590">
        <f t="shared" si="27"/>
        <v>49971.3</v>
      </c>
      <c r="P68" s="601">
        <f>O68</f>
        <v>49971.3</v>
      </c>
      <c r="Q68" s="604">
        <f>ROUND(P68*8.41%,2)</f>
        <v>4202.59</v>
      </c>
      <c r="R68" s="604" t="s">
        <v>324</v>
      </c>
      <c r="S68" s="568" t="s">
        <v>371</v>
      </c>
      <c r="T68" s="568"/>
      <c r="U68" s="568"/>
      <c r="V68" s="568"/>
      <c r="W68" s="568"/>
      <c r="X68" s="568"/>
      <c r="Y68" s="568"/>
      <c r="Z68" s="568"/>
      <c r="AA68" s="568"/>
    </row>
    <row r="69" spans="1:27" s="573" customFormat="1" ht="40.5" customHeight="1" x14ac:dyDescent="0.25">
      <c r="A69" s="587">
        <v>38</v>
      </c>
      <c r="B69" s="588" t="s">
        <v>51</v>
      </c>
      <c r="C69" s="587">
        <v>1</v>
      </c>
      <c r="D69" s="587" t="s">
        <v>115</v>
      </c>
      <c r="E69" s="587">
        <f>$T$13</f>
        <v>1.35</v>
      </c>
      <c r="F69" s="589">
        <v>51.14</v>
      </c>
      <c r="G69" s="590">
        <f>ROUND(F69*$Y$5,2)</f>
        <v>8425.32</v>
      </c>
      <c r="H69" s="590">
        <f t="shared" si="28"/>
        <v>8425.32</v>
      </c>
      <c r="I69" s="594">
        <v>0.04</v>
      </c>
      <c r="J69" s="590">
        <f t="shared" si="29"/>
        <v>337.01</v>
      </c>
      <c r="K69" s="590"/>
      <c r="L69" s="590"/>
      <c r="M69" s="590"/>
      <c r="N69" s="590">
        <f t="shared" si="30"/>
        <v>8762.33</v>
      </c>
      <c r="O69" s="590">
        <f t="shared" si="27"/>
        <v>43811.65</v>
      </c>
      <c r="P69" s="601"/>
      <c r="Q69" s="568"/>
      <c r="R69" s="604"/>
      <c r="S69" s="568"/>
      <c r="T69" s="568"/>
      <c r="U69" s="568"/>
      <c r="V69" s="568"/>
      <c r="W69" s="568"/>
      <c r="X69" s="568"/>
      <c r="Y69" s="568"/>
      <c r="Z69" s="568"/>
      <c r="AA69" s="568"/>
    </row>
    <row r="70" spans="1:27" s="573" customFormat="1" ht="60" customHeight="1" x14ac:dyDescent="0.25">
      <c r="A70" s="587">
        <v>39</v>
      </c>
      <c r="B70" s="588" t="s">
        <v>50</v>
      </c>
      <c r="C70" s="587">
        <v>3</v>
      </c>
      <c r="D70" s="587" t="s">
        <v>123</v>
      </c>
      <c r="E70" s="587">
        <f>$U$13</f>
        <v>1.54</v>
      </c>
      <c r="F70" s="589">
        <v>58.33</v>
      </c>
      <c r="G70" s="590">
        <f>ROUND(F70*$Y$5,2)</f>
        <v>9609.8700000000008</v>
      </c>
      <c r="H70" s="590">
        <f t="shared" si="28"/>
        <v>28829.61</v>
      </c>
      <c r="I70" s="594">
        <v>0.04</v>
      </c>
      <c r="J70" s="590">
        <f t="shared" si="29"/>
        <v>1153.18</v>
      </c>
      <c r="K70" s="590"/>
      <c r="L70" s="590"/>
      <c r="M70" s="590"/>
      <c r="N70" s="590">
        <f t="shared" si="30"/>
        <v>29982.79</v>
      </c>
      <c r="O70" s="590">
        <f t="shared" si="27"/>
        <v>149913.95000000001</v>
      </c>
      <c r="P70" s="601"/>
      <c r="Q70" s="568"/>
      <c r="R70" s="604"/>
      <c r="S70" s="568"/>
      <c r="T70" s="568"/>
      <c r="U70" s="568"/>
      <c r="V70" s="568"/>
      <c r="W70" s="568"/>
      <c r="X70" s="568"/>
      <c r="Y70" s="568"/>
      <c r="Z70" s="568"/>
      <c r="AA70" s="568"/>
    </row>
    <row r="71" spans="1:27" s="573" customFormat="1" ht="60.75" customHeight="1" x14ac:dyDescent="0.25">
      <c r="A71" s="587">
        <v>40</v>
      </c>
      <c r="B71" s="588" t="s">
        <v>52</v>
      </c>
      <c r="C71" s="587">
        <v>1</v>
      </c>
      <c r="D71" s="587" t="s">
        <v>123</v>
      </c>
      <c r="E71" s="587">
        <f>E70</f>
        <v>1.54</v>
      </c>
      <c r="F71" s="589">
        <v>58.33</v>
      </c>
      <c r="G71" s="590">
        <f>ROUND(F71*$Y$5,2)</f>
        <v>9609.8700000000008</v>
      </c>
      <c r="H71" s="590">
        <f t="shared" si="28"/>
        <v>9609.8700000000008</v>
      </c>
      <c r="I71" s="594">
        <v>0.04</v>
      </c>
      <c r="J71" s="590">
        <f t="shared" si="29"/>
        <v>384.39</v>
      </c>
      <c r="K71" s="590"/>
      <c r="L71" s="590">
        <f>ROUND(((F71*53.23)*35%)*C71,2)</f>
        <v>1086.72</v>
      </c>
      <c r="M71" s="590">
        <f>ROUND((F71*5.5)*C71,2)</f>
        <v>320.82</v>
      </c>
      <c r="N71" s="590">
        <f t="shared" si="30"/>
        <v>11401.8</v>
      </c>
      <c r="O71" s="590">
        <f t="shared" si="27"/>
        <v>57009</v>
      </c>
      <c r="P71" s="601"/>
      <c r="Q71" s="568"/>
      <c r="R71" s="604"/>
      <c r="S71" s="568"/>
      <c r="T71" s="568"/>
      <c r="U71" s="568"/>
      <c r="V71" s="568"/>
      <c r="W71" s="568"/>
      <c r="X71" s="568"/>
      <c r="Y71" s="568"/>
      <c r="Z71" s="568"/>
      <c r="AA71" s="568"/>
    </row>
    <row r="72" spans="1:27" s="573" customFormat="1" ht="60" customHeight="1" x14ac:dyDescent="0.25">
      <c r="A72" s="587">
        <v>41</v>
      </c>
      <c r="B72" s="588" t="s">
        <v>50</v>
      </c>
      <c r="C72" s="587">
        <v>2</v>
      </c>
      <c r="D72" s="587" t="s">
        <v>70</v>
      </c>
      <c r="E72" s="587">
        <f>$S$13</f>
        <v>1.2</v>
      </c>
      <c r="F72" s="589">
        <v>45.45</v>
      </c>
      <c r="G72" s="590">
        <f>ROUND(F72*$Y$5,2)</f>
        <v>7487.89</v>
      </c>
      <c r="H72" s="590">
        <f t="shared" si="28"/>
        <v>14975.78</v>
      </c>
      <c r="I72" s="594">
        <v>0.04</v>
      </c>
      <c r="J72" s="590">
        <f t="shared" si="29"/>
        <v>599.03</v>
      </c>
      <c r="K72" s="590"/>
      <c r="L72" s="590">
        <f>ROUND(((F72*53.23)*35%)*C72,2)</f>
        <v>1693.51</v>
      </c>
      <c r="M72" s="590">
        <f t="shared" ref="M72:M73" si="31">ROUND((F72*5.5)*C72,2)</f>
        <v>499.95</v>
      </c>
      <c r="N72" s="590">
        <f t="shared" si="30"/>
        <v>17768.27</v>
      </c>
      <c r="O72" s="590">
        <f t="shared" si="27"/>
        <v>88841.35</v>
      </c>
      <c r="P72" s="601"/>
      <c r="Q72" s="604">
        <f>ROUND(P72*8.41%,2)</f>
        <v>0</v>
      </c>
      <c r="R72" s="568" t="s">
        <v>325</v>
      </c>
      <c r="S72" s="568" t="s">
        <v>371</v>
      </c>
      <c r="T72" s="568"/>
      <c r="U72" s="568"/>
      <c r="V72" s="568"/>
      <c r="W72" s="568"/>
      <c r="X72" s="568"/>
      <c r="Y72" s="568"/>
      <c r="Z72" s="568"/>
      <c r="AA72" s="568"/>
    </row>
    <row r="73" spans="1:27" s="573" customFormat="1" ht="63" customHeight="1" x14ac:dyDescent="0.25">
      <c r="A73" s="587">
        <v>42</v>
      </c>
      <c r="B73" s="588" t="s">
        <v>124</v>
      </c>
      <c r="C73" s="587">
        <v>2</v>
      </c>
      <c r="D73" s="587" t="s">
        <v>115</v>
      </c>
      <c r="E73" s="587">
        <f>$T$13</f>
        <v>1.35</v>
      </c>
      <c r="F73" s="589">
        <v>51.14</v>
      </c>
      <c r="G73" s="590">
        <f>ROUND(F73*$Y$5,2)</f>
        <v>8425.32</v>
      </c>
      <c r="H73" s="590">
        <f t="shared" si="28"/>
        <v>16850.64</v>
      </c>
      <c r="I73" s="594">
        <v>0.04</v>
      </c>
      <c r="J73" s="590">
        <f t="shared" si="29"/>
        <v>674.03</v>
      </c>
      <c r="K73" s="590"/>
      <c r="L73" s="590">
        <f>ROUND(((F73*53.23)*35%)*C73,2)</f>
        <v>1905.53</v>
      </c>
      <c r="M73" s="590">
        <f t="shared" si="31"/>
        <v>562.54</v>
      </c>
      <c r="N73" s="590">
        <f t="shared" si="30"/>
        <v>19992.739999999998</v>
      </c>
      <c r="O73" s="590">
        <f t="shared" si="27"/>
        <v>99963.699999999983</v>
      </c>
      <c r="P73" s="601"/>
      <c r="Q73" s="604"/>
      <c r="R73" s="568"/>
      <c r="S73" s="568"/>
      <c r="T73" s="568"/>
      <c r="U73" s="568"/>
      <c r="V73" s="568"/>
      <c r="W73" s="568"/>
      <c r="X73" s="568"/>
      <c r="Y73" s="568"/>
      <c r="Z73" s="568"/>
      <c r="AA73" s="568"/>
    </row>
    <row r="74" spans="1:27" s="573" customFormat="1" ht="25.5" customHeight="1" x14ac:dyDescent="0.25">
      <c r="A74" s="618" t="s">
        <v>326</v>
      </c>
      <c r="B74" s="618"/>
      <c r="C74" s="591">
        <f>SUM(C68:C73)</f>
        <v>10</v>
      </c>
      <c r="D74" s="591"/>
      <c r="E74" s="591"/>
      <c r="F74" s="591"/>
      <c r="G74" s="592"/>
      <c r="H74" s="592">
        <f t="shared" ref="H74:M74" si="32">SUM(H68:H73)</f>
        <v>88301.090000000011</v>
      </c>
      <c r="I74" s="592"/>
      <c r="J74" s="592">
        <f t="shared" si="32"/>
        <v>3532.0299999999997</v>
      </c>
      <c r="K74" s="592"/>
      <c r="L74" s="592">
        <f t="shared" si="32"/>
        <v>4685.76</v>
      </c>
      <c r="M74" s="592">
        <f t="shared" si="32"/>
        <v>1383.31</v>
      </c>
      <c r="N74" s="592">
        <f t="shared" ref="N74:O74" si="33">SUM(N68:N73)</f>
        <v>97902.19</v>
      </c>
      <c r="O74" s="592">
        <f t="shared" si="33"/>
        <v>489510.94999999995</v>
      </c>
      <c r="P74" s="601"/>
      <c r="Q74" s="568"/>
      <c r="R74" s="568"/>
      <c r="S74" s="568"/>
      <c r="T74" s="568"/>
      <c r="U74" s="568"/>
      <c r="V74" s="568"/>
      <c r="W74" s="568"/>
      <c r="X74" s="568"/>
      <c r="Y74" s="568"/>
      <c r="Z74" s="568"/>
      <c r="AA74" s="568"/>
    </row>
    <row r="75" spans="1:27" s="573" customFormat="1" ht="25.5" customHeight="1" x14ac:dyDescent="0.25">
      <c r="A75" s="618" t="s">
        <v>327</v>
      </c>
      <c r="B75" s="618"/>
      <c r="C75" s="591">
        <f>C66+C74</f>
        <v>11</v>
      </c>
      <c r="D75" s="591"/>
      <c r="E75" s="591"/>
      <c r="F75" s="591"/>
      <c r="G75" s="592"/>
      <c r="H75" s="592">
        <f>SUM(H67+H74)</f>
        <v>98728.090000000011</v>
      </c>
      <c r="I75" s="592"/>
      <c r="J75" s="592">
        <f t="shared" ref="J75:M75" si="34">SUM(J67+J74)</f>
        <v>3532.0299999999997</v>
      </c>
      <c r="K75" s="592"/>
      <c r="L75" s="592">
        <f t="shared" si="34"/>
        <v>4685.76</v>
      </c>
      <c r="M75" s="592">
        <f t="shared" si="34"/>
        <v>1383.31</v>
      </c>
      <c r="N75" s="592">
        <f>SUM(N67+N74)</f>
        <v>108329.19</v>
      </c>
      <c r="O75" s="592">
        <f>SUM(O67+O74)</f>
        <v>541645.94999999995</v>
      </c>
      <c r="P75" s="601"/>
      <c r="Q75" s="568"/>
      <c r="R75" s="568"/>
      <c r="S75" s="568"/>
      <c r="T75" s="568"/>
      <c r="U75" s="568"/>
      <c r="V75" s="568"/>
      <c r="W75" s="568"/>
      <c r="X75" s="568"/>
      <c r="Y75" s="568"/>
      <c r="Z75" s="568"/>
      <c r="AA75" s="568"/>
    </row>
    <row r="76" spans="1:27" s="573" customFormat="1" ht="25.5" customHeight="1" x14ac:dyDescent="0.25">
      <c r="A76" s="618" t="s">
        <v>40</v>
      </c>
      <c r="B76" s="618"/>
      <c r="C76" s="618"/>
      <c r="D76" s="618"/>
      <c r="E76" s="618"/>
      <c r="F76" s="618"/>
      <c r="G76" s="618"/>
      <c r="H76" s="618"/>
      <c r="I76" s="618"/>
      <c r="J76" s="618"/>
      <c r="K76" s="618"/>
      <c r="L76" s="618"/>
      <c r="M76" s="618"/>
      <c r="N76" s="618"/>
      <c r="O76" s="618"/>
      <c r="P76" s="601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</row>
    <row r="77" spans="1:27" s="573" customFormat="1" ht="38.25" customHeight="1" x14ac:dyDescent="0.25">
      <c r="A77" s="587">
        <v>43</v>
      </c>
      <c r="B77" s="588" t="s">
        <v>127</v>
      </c>
      <c r="C77" s="587">
        <v>1</v>
      </c>
      <c r="D77" s="587">
        <v>2.4</v>
      </c>
      <c r="E77" s="587"/>
      <c r="F77" s="587"/>
      <c r="G77" s="590">
        <f>ROUND($Y$2*$Y$3*D77*$Y$4,0)</f>
        <v>13171</v>
      </c>
      <c r="H77" s="590">
        <f t="shared" ref="H77:H81" si="35">C77*G77</f>
        <v>13171</v>
      </c>
      <c r="I77" s="590"/>
      <c r="J77" s="590"/>
      <c r="K77" s="590"/>
      <c r="L77" s="590"/>
      <c r="M77" s="590"/>
      <c r="N77" s="590">
        <f t="shared" ref="N77:N81" si="36">H77+J77+K77+L77+M77</f>
        <v>13171</v>
      </c>
      <c r="O77" s="590">
        <f t="shared" ref="O77:O81" si="37">N77*$O$13</f>
        <v>65855</v>
      </c>
      <c r="P77" s="601"/>
      <c r="Q77" s="568"/>
      <c r="R77" s="568"/>
      <c r="S77" s="568"/>
      <c r="T77" s="568"/>
      <c r="U77" s="568"/>
      <c r="V77" s="568"/>
      <c r="W77" s="568"/>
      <c r="X77" s="568"/>
      <c r="Y77" s="568"/>
      <c r="Z77" s="568"/>
      <c r="AA77" s="568"/>
    </row>
    <row r="78" spans="1:27" s="573" customFormat="1" ht="30.75" customHeight="1" x14ac:dyDescent="0.25">
      <c r="A78" s="587">
        <v>44</v>
      </c>
      <c r="B78" s="588" t="s">
        <v>254</v>
      </c>
      <c r="C78" s="587">
        <v>1</v>
      </c>
      <c r="D78" s="589">
        <v>2.0499999999999998</v>
      </c>
      <c r="E78" s="587"/>
      <c r="F78" s="587"/>
      <c r="G78" s="590">
        <f>ROUND($Y$2*$Y$3*D78*$Y$4,0)</f>
        <v>11250</v>
      </c>
      <c r="H78" s="590">
        <f t="shared" si="35"/>
        <v>11250</v>
      </c>
      <c r="I78" s="590"/>
      <c r="J78" s="590"/>
      <c r="K78" s="590"/>
      <c r="L78" s="590"/>
      <c r="M78" s="590"/>
      <c r="N78" s="590">
        <f t="shared" si="36"/>
        <v>11250</v>
      </c>
      <c r="O78" s="590">
        <f t="shared" si="37"/>
        <v>56250</v>
      </c>
      <c r="P78" s="601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</row>
    <row r="79" spans="1:27" s="573" customFormat="1" ht="40.5" customHeight="1" x14ac:dyDescent="0.25">
      <c r="A79" s="587">
        <v>45</v>
      </c>
      <c r="B79" s="588" t="s">
        <v>41</v>
      </c>
      <c r="C79" s="587">
        <v>1</v>
      </c>
      <c r="D79" s="587">
        <v>1.85</v>
      </c>
      <c r="E79" s="587"/>
      <c r="F79" s="587"/>
      <c r="G79" s="590">
        <f>ROUND($Y$2*$Y$3*D79*$Y$4,0)</f>
        <v>10153</v>
      </c>
      <c r="H79" s="590">
        <f t="shared" si="35"/>
        <v>10153</v>
      </c>
      <c r="I79" s="590"/>
      <c r="J79" s="590"/>
      <c r="K79" s="590"/>
      <c r="L79" s="590"/>
      <c r="M79" s="590"/>
      <c r="N79" s="590">
        <f t="shared" si="36"/>
        <v>10153</v>
      </c>
      <c r="O79" s="590">
        <f t="shared" si="37"/>
        <v>50765</v>
      </c>
      <c r="P79" s="601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</row>
    <row r="80" spans="1:27" s="573" customFormat="1" ht="60" customHeight="1" x14ac:dyDescent="0.25">
      <c r="A80" s="587">
        <v>46</v>
      </c>
      <c r="B80" s="588" t="s">
        <v>42</v>
      </c>
      <c r="C80" s="587">
        <v>1</v>
      </c>
      <c r="D80" s="589">
        <v>1.75</v>
      </c>
      <c r="E80" s="587"/>
      <c r="F80" s="587"/>
      <c r="G80" s="590">
        <f>ROUND($Y$2*$Y$3*D80*$Y$4,0)</f>
        <v>9604</v>
      </c>
      <c r="H80" s="590">
        <f t="shared" si="35"/>
        <v>9604</v>
      </c>
      <c r="I80" s="590"/>
      <c r="J80" s="590"/>
      <c r="K80" s="590"/>
      <c r="L80" s="590"/>
      <c r="M80" s="590"/>
      <c r="N80" s="590">
        <f t="shared" si="36"/>
        <v>9604</v>
      </c>
      <c r="O80" s="590">
        <f t="shared" si="37"/>
        <v>48020</v>
      </c>
      <c r="P80" s="601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</row>
    <row r="81" spans="1:27" s="573" customFormat="1" ht="30.75" customHeight="1" x14ac:dyDescent="0.25">
      <c r="A81" s="587">
        <v>47</v>
      </c>
      <c r="B81" s="588" t="s">
        <v>44</v>
      </c>
      <c r="C81" s="587">
        <v>0.5</v>
      </c>
      <c r="D81" s="587">
        <v>1.5</v>
      </c>
      <c r="E81" s="587"/>
      <c r="F81" s="587"/>
      <c r="G81" s="590">
        <f>ROUND($Y$2*$Y$3*D81*$Y$4,0)</f>
        <v>8232</v>
      </c>
      <c r="H81" s="590">
        <f t="shared" si="35"/>
        <v>4116</v>
      </c>
      <c r="I81" s="590"/>
      <c r="J81" s="590"/>
      <c r="K81" s="590"/>
      <c r="L81" s="590"/>
      <c r="M81" s="590"/>
      <c r="N81" s="590">
        <f t="shared" si="36"/>
        <v>4116</v>
      </c>
      <c r="O81" s="590">
        <f t="shared" si="37"/>
        <v>20580</v>
      </c>
      <c r="P81" s="601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</row>
    <row r="82" spans="1:27" s="573" customFormat="1" ht="40.5" customHeight="1" x14ac:dyDescent="0.25">
      <c r="A82" s="618" t="s">
        <v>328</v>
      </c>
      <c r="B82" s="618"/>
      <c r="C82" s="599">
        <f>SUM(C77:C81)</f>
        <v>4.5</v>
      </c>
      <c r="D82" s="591"/>
      <c r="E82" s="591"/>
      <c r="F82" s="591"/>
      <c r="G82" s="592"/>
      <c r="H82" s="592">
        <f>SUM(H77:H81)</f>
        <v>48294</v>
      </c>
      <c r="I82" s="592"/>
      <c r="J82" s="592"/>
      <c r="K82" s="592"/>
      <c r="L82" s="592"/>
      <c r="M82" s="592"/>
      <c r="N82" s="592">
        <f>SUM(N77:N81)</f>
        <v>48294</v>
      </c>
      <c r="O82" s="592">
        <f>SUM(O77:O81)</f>
        <v>241470</v>
      </c>
      <c r="P82" s="601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</row>
    <row r="83" spans="1:27" s="573" customFormat="1" ht="30.75" customHeight="1" x14ac:dyDescent="0.25">
      <c r="A83" s="618" t="s">
        <v>357</v>
      </c>
      <c r="B83" s="618"/>
      <c r="C83" s="618"/>
      <c r="D83" s="618"/>
      <c r="E83" s="618"/>
      <c r="F83" s="618"/>
      <c r="G83" s="618"/>
      <c r="H83" s="618"/>
      <c r="I83" s="618"/>
      <c r="J83" s="618"/>
      <c r="K83" s="618"/>
      <c r="L83" s="618"/>
      <c r="M83" s="618"/>
      <c r="N83" s="618"/>
      <c r="O83" s="618"/>
      <c r="P83" s="601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</row>
    <row r="84" spans="1:27" s="573" customFormat="1" ht="30.75" customHeight="1" x14ac:dyDescent="0.25">
      <c r="A84" s="587">
        <v>48</v>
      </c>
      <c r="B84" s="588" t="s">
        <v>72</v>
      </c>
      <c r="C84" s="587">
        <v>1</v>
      </c>
      <c r="D84" s="587">
        <v>1.7</v>
      </c>
      <c r="E84" s="587"/>
      <c r="F84" s="587"/>
      <c r="G84" s="590">
        <f>ROUND($Y$2*$Y$3*D84*$Y$4,0)</f>
        <v>9330</v>
      </c>
      <c r="H84" s="590">
        <f>C84*G84</f>
        <v>9330</v>
      </c>
      <c r="I84" s="590"/>
      <c r="J84" s="590"/>
      <c r="K84" s="590"/>
      <c r="L84" s="590">
        <f>ROUND(((G84/$Y$5)*53.23)*35%*C84,2)</f>
        <v>1055.07</v>
      </c>
      <c r="M84" s="590">
        <f>ROUND(((G84/$Y$5)*5.5)*C84,2)</f>
        <v>311.47000000000003</v>
      </c>
      <c r="N84" s="590">
        <f t="shared" ref="N84:N85" si="38">H84+J84+K84+L84+M84</f>
        <v>10696.539999999999</v>
      </c>
      <c r="O84" s="590">
        <f t="shared" ref="O84:O85" si="39">N84*$O$13</f>
        <v>53482.7</v>
      </c>
      <c r="P84" s="601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</row>
    <row r="85" spans="1:27" s="573" customFormat="1" ht="30.75" customHeight="1" x14ac:dyDescent="0.25">
      <c r="A85" s="587">
        <v>49</v>
      </c>
      <c r="B85" s="605" t="s">
        <v>358</v>
      </c>
      <c r="C85" s="587">
        <v>3</v>
      </c>
      <c r="D85" s="587">
        <v>1.6</v>
      </c>
      <c r="E85" s="587"/>
      <c r="F85" s="587"/>
      <c r="G85" s="590">
        <f>ROUND($Y$2*$Y$3*D85*$Y$4,0)</f>
        <v>8781</v>
      </c>
      <c r="H85" s="590">
        <f>G85*C85</f>
        <v>26343</v>
      </c>
      <c r="I85" s="590"/>
      <c r="J85" s="590"/>
      <c r="K85" s="590"/>
      <c r="L85" s="590">
        <f>ROUND(((G85/$Y$5)*53.23)*35%*C85,2)</f>
        <v>2978.96</v>
      </c>
      <c r="M85" s="590">
        <f>ROUND(((G85/$Y$5)*5.5)*C85,2)</f>
        <v>879.43</v>
      </c>
      <c r="N85" s="590">
        <f t="shared" si="38"/>
        <v>30201.39</v>
      </c>
      <c r="O85" s="590">
        <f t="shared" si="39"/>
        <v>151006.95000000001</v>
      </c>
      <c r="P85" s="601"/>
      <c r="Q85" s="568"/>
      <c r="R85" s="568"/>
      <c r="S85" s="568"/>
      <c r="T85" s="568"/>
      <c r="U85" s="568"/>
      <c r="V85" s="568"/>
      <c r="W85" s="568"/>
      <c r="X85" s="568"/>
      <c r="Y85" s="568"/>
      <c r="Z85" s="568"/>
      <c r="AA85" s="568"/>
    </row>
    <row r="86" spans="1:27" s="573" customFormat="1" ht="30.75" customHeight="1" x14ac:dyDescent="0.25">
      <c r="A86" s="618" t="s">
        <v>359</v>
      </c>
      <c r="B86" s="618"/>
      <c r="C86" s="591">
        <f>C84+C85</f>
        <v>4</v>
      </c>
      <c r="D86" s="591"/>
      <c r="E86" s="591"/>
      <c r="F86" s="596"/>
      <c r="G86" s="592"/>
      <c r="H86" s="592">
        <f>SUM(H84:H85)</f>
        <v>35673</v>
      </c>
      <c r="I86" s="592"/>
      <c r="J86" s="592"/>
      <c r="K86" s="592"/>
      <c r="L86" s="592">
        <f>SUM(L84:L85)</f>
        <v>4034.0299999999997</v>
      </c>
      <c r="M86" s="592">
        <f>SUM(M84:M85)</f>
        <v>1190.9000000000001</v>
      </c>
      <c r="N86" s="592">
        <f>SUM(N84:N85)</f>
        <v>40897.93</v>
      </c>
      <c r="O86" s="592">
        <f>SUM(O84:O85)</f>
        <v>204489.65000000002</v>
      </c>
      <c r="P86" s="601"/>
      <c r="Q86" s="568"/>
      <c r="R86" s="568"/>
      <c r="S86" s="568"/>
      <c r="T86" s="568"/>
      <c r="U86" s="568"/>
      <c r="V86" s="568"/>
      <c r="W86" s="568"/>
      <c r="X86" s="568"/>
      <c r="Y86" s="568"/>
      <c r="Z86" s="568"/>
      <c r="AA86" s="568"/>
    </row>
    <row r="87" spans="1:27" s="573" customFormat="1" ht="30.75" customHeight="1" x14ac:dyDescent="0.25">
      <c r="A87" s="618" t="s">
        <v>53</v>
      </c>
      <c r="B87" s="618"/>
      <c r="C87" s="618"/>
      <c r="D87" s="618"/>
      <c r="E87" s="618"/>
      <c r="F87" s="618"/>
      <c r="G87" s="618"/>
      <c r="H87" s="618"/>
      <c r="I87" s="618"/>
      <c r="J87" s="618"/>
      <c r="K87" s="618"/>
      <c r="L87" s="618"/>
      <c r="M87" s="618"/>
      <c r="N87" s="618"/>
      <c r="O87" s="618"/>
      <c r="P87" s="601"/>
      <c r="Q87" s="568"/>
      <c r="R87" s="568"/>
      <c r="S87" s="568"/>
      <c r="T87" s="568"/>
      <c r="U87" s="568"/>
      <c r="V87" s="568"/>
      <c r="W87" s="568"/>
      <c r="X87" s="568"/>
      <c r="Y87" s="568"/>
      <c r="Z87" s="568"/>
      <c r="AA87" s="568"/>
    </row>
    <row r="88" spans="1:27" s="573" customFormat="1" ht="30.75" customHeight="1" x14ac:dyDescent="0.25">
      <c r="A88" s="587">
        <v>50</v>
      </c>
      <c r="B88" s="588" t="s">
        <v>54</v>
      </c>
      <c r="C88" s="587">
        <v>1</v>
      </c>
      <c r="D88" s="587">
        <v>1.8</v>
      </c>
      <c r="E88" s="587"/>
      <c r="F88" s="587"/>
      <c r="G88" s="590">
        <f>ROUND($Y$2*$Y$3*D88*$Y$4,0)</f>
        <v>9878</v>
      </c>
      <c r="H88" s="590">
        <f>C88*G88</f>
        <v>9878</v>
      </c>
      <c r="I88" s="590"/>
      <c r="J88" s="590"/>
      <c r="K88" s="590"/>
      <c r="L88" s="590"/>
      <c r="M88" s="590"/>
      <c r="N88" s="590">
        <f t="shared" ref="N88" si="40">H88+J88+K88+L88+M88</f>
        <v>9878</v>
      </c>
      <c r="O88" s="590">
        <f t="shared" ref="O88" si="41">N88*$O$13</f>
        <v>49390</v>
      </c>
      <c r="P88" s="601"/>
      <c r="Q88" s="568"/>
      <c r="R88" s="568"/>
      <c r="S88" s="568"/>
      <c r="T88" s="568"/>
      <c r="U88" s="568"/>
      <c r="V88" s="568"/>
      <c r="W88" s="568"/>
      <c r="X88" s="568"/>
      <c r="Y88" s="568"/>
      <c r="Z88" s="568"/>
      <c r="AA88" s="568"/>
    </row>
    <row r="89" spans="1:27" s="573" customFormat="1" ht="30.75" customHeight="1" x14ac:dyDescent="0.25">
      <c r="A89" s="618" t="s">
        <v>329</v>
      </c>
      <c r="B89" s="618"/>
      <c r="C89" s="591">
        <f>C88</f>
        <v>1</v>
      </c>
      <c r="D89" s="591"/>
      <c r="E89" s="591"/>
      <c r="F89" s="591"/>
      <c r="G89" s="592"/>
      <c r="H89" s="592">
        <f>H88</f>
        <v>9878</v>
      </c>
      <c r="I89" s="592"/>
      <c r="J89" s="592"/>
      <c r="K89" s="592"/>
      <c r="L89" s="592"/>
      <c r="M89" s="592"/>
      <c r="N89" s="592">
        <f>N88</f>
        <v>9878</v>
      </c>
      <c r="O89" s="592">
        <f>O88</f>
        <v>49390</v>
      </c>
      <c r="P89" s="601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</row>
    <row r="90" spans="1:27" s="573" customFormat="1" ht="30.75" customHeight="1" x14ac:dyDescent="0.25">
      <c r="A90" s="587">
        <v>51</v>
      </c>
      <c r="B90" s="588" t="s">
        <v>55</v>
      </c>
      <c r="C90" s="587">
        <v>2</v>
      </c>
      <c r="D90" s="587" t="s">
        <v>115</v>
      </c>
      <c r="E90" s="587">
        <f>$T$13</f>
        <v>1.35</v>
      </c>
      <c r="F90" s="589">
        <v>51.14</v>
      </c>
      <c r="G90" s="590">
        <f>ROUND(F90*$Y$5,2)</f>
        <v>8425.32</v>
      </c>
      <c r="H90" s="590">
        <f>C90*G90</f>
        <v>16850.64</v>
      </c>
      <c r="I90" s="594">
        <v>0.08</v>
      </c>
      <c r="J90" s="590">
        <f t="shared" ref="J90:J91" si="42">ROUND(H90*I90,2)</f>
        <v>1348.05</v>
      </c>
      <c r="K90" s="590"/>
      <c r="L90" s="590"/>
      <c r="M90" s="590"/>
      <c r="N90" s="590">
        <f>H90+J90+K90+L90+M90</f>
        <v>18198.689999999999</v>
      </c>
      <c r="O90" s="590">
        <f t="shared" ref="O90:O91" si="43">N90*$O$13</f>
        <v>90993.45</v>
      </c>
      <c r="P90" s="601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</row>
    <row r="91" spans="1:27" s="573" customFormat="1" ht="30.75" customHeight="1" x14ac:dyDescent="0.25">
      <c r="A91" s="587">
        <v>52</v>
      </c>
      <c r="B91" s="588" t="s">
        <v>56</v>
      </c>
      <c r="C91" s="587">
        <v>1</v>
      </c>
      <c r="D91" s="587" t="s">
        <v>115</v>
      </c>
      <c r="E91" s="587">
        <f>$T$13</f>
        <v>1.35</v>
      </c>
      <c r="F91" s="589">
        <v>51.14</v>
      </c>
      <c r="G91" s="590">
        <f>ROUND(F91*$Y$5,2)</f>
        <v>8425.32</v>
      </c>
      <c r="H91" s="590">
        <f>C91*G91</f>
        <v>8425.32</v>
      </c>
      <c r="I91" s="594">
        <v>0.08</v>
      </c>
      <c r="J91" s="590">
        <f t="shared" si="42"/>
        <v>674.03</v>
      </c>
      <c r="K91" s="590"/>
      <c r="L91" s="590"/>
      <c r="M91" s="590"/>
      <c r="N91" s="590">
        <f>H91+J91+K91+L91+M91</f>
        <v>9099.35</v>
      </c>
      <c r="O91" s="590">
        <f t="shared" si="43"/>
        <v>45496.75</v>
      </c>
      <c r="P91" s="601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</row>
    <row r="92" spans="1:27" s="573" customFormat="1" ht="27.75" customHeight="1" x14ac:dyDescent="0.25">
      <c r="A92" s="618" t="s">
        <v>330</v>
      </c>
      <c r="B92" s="618"/>
      <c r="C92" s="591">
        <f>SUM(C90:C91)</f>
        <v>3</v>
      </c>
      <c r="D92" s="591"/>
      <c r="E92" s="591"/>
      <c r="F92" s="591"/>
      <c r="G92" s="592"/>
      <c r="H92" s="592">
        <f>SUM(H90:H91)</f>
        <v>25275.96</v>
      </c>
      <c r="I92" s="592"/>
      <c r="J92" s="592">
        <f>SUM(J90:J91)</f>
        <v>2022.08</v>
      </c>
      <c r="K92" s="592"/>
      <c r="L92" s="592"/>
      <c r="M92" s="592"/>
      <c r="N92" s="592">
        <f>SUM(N90:N91)</f>
        <v>27298.04</v>
      </c>
      <c r="O92" s="592">
        <f>SUM(O90:O91)</f>
        <v>136490.20000000001</v>
      </c>
      <c r="P92" s="601"/>
      <c r="Q92" s="568"/>
      <c r="R92" s="568"/>
      <c r="S92" s="568"/>
      <c r="T92" s="568"/>
      <c r="U92" s="568"/>
      <c r="V92" s="568"/>
      <c r="W92" s="568"/>
      <c r="X92" s="568"/>
      <c r="Y92" s="568"/>
      <c r="Z92" s="568"/>
      <c r="AA92" s="568"/>
    </row>
    <row r="93" spans="1:27" s="573" customFormat="1" ht="26.25" customHeight="1" x14ac:dyDescent="0.25">
      <c r="A93" s="618" t="s">
        <v>331</v>
      </c>
      <c r="B93" s="618"/>
      <c r="C93" s="591">
        <f>C89+C92</f>
        <v>4</v>
      </c>
      <c r="D93" s="591"/>
      <c r="E93" s="591"/>
      <c r="F93" s="591"/>
      <c r="G93" s="592"/>
      <c r="H93" s="592">
        <f>H89+H92</f>
        <v>35153.96</v>
      </c>
      <c r="I93" s="592"/>
      <c r="J93" s="592">
        <f t="shared" ref="J93" si="44">J89+J92</f>
        <v>2022.08</v>
      </c>
      <c r="K93" s="592"/>
      <c r="L93" s="592"/>
      <c r="M93" s="592"/>
      <c r="N93" s="592">
        <f>N89+N92</f>
        <v>37176.04</v>
      </c>
      <c r="O93" s="592">
        <f>O89+O92</f>
        <v>185880.2</v>
      </c>
      <c r="P93" s="601"/>
      <c r="Q93" s="568"/>
      <c r="R93" s="568"/>
      <c r="S93" s="568"/>
      <c r="T93" s="568"/>
      <c r="U93" s="568"/>
      <c r="V93" s="568"/>
      <c r="W93" s="568"/>
      <c r="X93" s="568"/>
      <c r="Y93" s="568"/>
      <c r="Z93" s="568"/>
      <c r="AA93" s="568"/>
    </row>
    <row r="94" spans="1:27" s="573" customFormat="1" ht="39" customHeight="1" x14ac:dyDescent="0.25">
      <c r="A94" s="618" t="s">
        <v>332</v>
      </c>
      <c r="B94" s="618"/>
      <c r="C94" s="600">
        <f>C50+C54+C67+C82+C89+C61+C86</f>
        <v>20</v>
      </c>
      <c r="D94" s="599"/>
      <c r="E94" s="599"/>
      <c r="F94" s="599"/>
      <c r="G94" s="592"/>
      <c r="H94" s="592">
        <f>H50+H54+H67+H82+H86+H89+H61</f>
        <v>211972</v>
      </c>
      <c r="I94" s="592"/>
      <c r="J94" s="592"/>
      <c r="K94" s="592"/>
      <c r="L94" s="592">
        <f t="shared" ref="L94:M94" si="45">L50+L54+L67+L82+L86+L89+L61</f>
        <v>4034.0299999999997</v>
      </c>
      <c r="M94" s="592">
        <f t="shared" si="45"/>
        <v>1190.9000000000001</v>
      </c>
      <c r="N94" s="592">
        <f>N50+N54+N67+N82+N86+N89+N61</f>
        <v>217196.93</v>
      </c>
      <c r="O94" s="592">
        <f>O50+O54+O67+O82+O86+O89+O61</f>
        <v>1085984.6499999999</v>
      </c>
      <c r="P94" s="601"/>
      <c r="Q94" s="568"/>
      <c r="R94" s="568"/>
      <c r="S94" s="568"/>
      <c r="T94" s="568"/>
      <c r="U94" s="568"/>
      <c r="V94" s="568"/>
      <c r="W94" s="568"/>
      <c r="X94" s="568"/>
      <c r="Y94" s="568"/>
      <c r="Z94" s="568"/>
      <c r="AA94" s="568"/>
    </row>
    <row r="95" spans="1:27" s="573" customFormat="1" ht="40.5" customHeight="1" x14ac:dyDescent="0.25">
      <c r="A95" s="618" t="s">
        <v>333</v>
      </c>
      <c r="B95" s="618"/>
      <c r="C95" s="591">
        <f>C56+C74+C92+C63</f>
        <v>20</v>
      </c>
      <c r="D95" s="591"/>
      <c r="E95" s="591"/>
      <c r="F95" s="591"/>
      <c r="G95" s="592"/>
      <c r="H95" s="592">
        <f>H56+H74+H92+H63</f>
        <v>165992.28</v>
      </c>
      <c r="I95" s="592"/>
      <c r="J95" s="592">
        <f t="shared" ref="J95" si="46">J56+J74+J92+J63</f>
        <v>7650.7199999999993</v>
      </c>
      <c r="K95" s="592"/>
      <c r="L95" s="592">
        <f>L56+L74+L92+L63</f>
        <v>8919.5400000000009</v>
      </c>
      <c r="M95" s="592">
        <f>M56+M74+M92+M63</f>
        <v>2633.19</v>
      </c>
      <c r="N95" s="592">
        <f>N56+N74+N92+N63</f>
        <v>185195.73</v>
      </c>
      <c r="O95" s="592">
        <f>O56+O74+O92+O63</f>
        <v>925978.64999999991</v>
      </c>
      <c r="P95" s="601"/>
      <c r="Q95" s="568"/>
      <c r="R95" s="568"/>
      <c r="S95" s="568"/>
      <c r="T95" s="568"/>
      <c r="U95" s="568"/>
      <c r="V95" s="568"/>
      <c r="W95" s="568"/>
      <c r="X95" s="568"/>
      <c r="Y95" s="568"/>
      <c r="Z95" s="568"/>
      <c r="AA95" s="568"/>
    </row>
    <row r="96" spans="1:27" s="573" customFormat="1" ht="40.5" customHeight="1" x14ac:dyDescent="0.25">
      <c r="A96" s="618" t="s">
        <v>334</v>
      </c>
      <c r="B96" s="618"/>
      <c r="C96" s="600">
        <f>C94+C95</f>
        <v>40</v>
      </c>
      <c r="D96" s="599"/>
      <c r="E96" s="599"/>
      <c r="F96" s="599"/>
      <c r="G96" s="592"/>
      <c r="H96" s="592">
        <f t="shared" ref="H96:J96" si="47">H94+H95</f>
        <v>377964.28</v>
      </c>
      <c r="I96" s="592"/>
      <c r="J96" s="592">
        <f t="shared" si="47"/>
        <v>7650.7199999999993</v>
      </c>
      <c r="K96" s="592"/>
      <c r="L96" s="592">
        <f>L94+L95</f>
        <v>12953.57</v>
      </c>
      <c r="M96" s="592">
        <f>M94+M95</f>
        <v>3824.09</v>
      </c>
      <c r="N96" s="592">
        <f>N94+N95</f>
        <v>402392.66000000003</v>
      </c>
      <c r="O96" s="592">
        <f>O94+O95</f>
        <v>2011963.2999999998</v>
      </c>
      <c r="P96" s="602">
        <f>ROUND((O96-P60-P68-P72)*22%,2)</f>
        <v>421677.74</v>
      </c>
      <c r="Q96" s="568" t="s">
        <v>371</v>
      </c>
      <c r="R96" s="568"/>
      <c r="S96" s="568"/>
      <c r="T96" s="568"/>
      <c r="U96" s="568"/>
      <c r="V96" s="568"/>
      <c r="W96" s="568"/>
      <c r="X96" s="568"/>
      <c r="Y96" s="568"/>
      <c r="Z96" s="568"/>
      <c r="AA96" s="568"/>
    </row>
    <row r="97" spans="1:27" s="573" customFormat="1" ht="30.75" customHeight="1" x14ac:dyDescent="0.25">
      <c r="A97" s="619" t="s">
        <v>17</v>
      </c>
      <c r="B97" s="619"/>
      <c r="C97" s="619"/>
      <c r="D97" s="619"/>
      <c r="E97" s="619"/>
      <c r="F97" s="619"/>
      <c r="G97" s="619"/>
      <c r="H97" s="619"/>
      <c r="I97" s="619"/>
      <c r="J97" s="619"/>
      <c r="K97" s="619"/>
      <c r="L97" s="619"/>
      <c r="M97" s="619"/>
      <c r="N97" s="619"/>
      <c r="O97" s="619"/>
      <c r="P97" s="601"/>
      <c r="Q97" s="568"/>
      <c r="R97" s="568"/>
      <c r="S97" s="568"/>
      <c r="T97" s="568"/>
      <c r="U97" s="568"/>
      <c r="V97" s="568"/>
      <c r="W97" s="568"/>
      <c r="X97" s="568"/>
      <c r="Y97" s="568"/>
      <c r="Z97" s="568"/>
      <c r="AA97" s="568"/>
    </row>
    <row r="98" spans="1:27" s="573" customFormat="1" ht="26.25" customHeight="1" x14ac:dyDescent="0.25">
      <c r="A98" s="587">
        <v>53</v>
      </c>
      <c r="B98" s="588" t="s">
        <v>18</v>
      </c>
      <c r="C98" s="587">
        <v>1</v>
      </c>
      <c r="D98" s="587">
        <v>2.4</v>
      </c>
      <c r="E98" s="587"/>
      <c r="F98" s="587"/>
      <c r="G98" s="590">
        <f>ROUND($Y$2*$Y$3*D98*$Y$4,0)</f>
        <v>13171</v>
      </c>
      <c r="H98" s="590">
        <f>C98*G98</f>
        <v>13171</v>
      </c>
      <c r="I98" s="590"/>
      <c r="J98" s="590"/>
      <c r="K98" s="590"/>
      <c r="L98" s="590"/>
      <c r="M98" s="590"/>
      <c r="N98" s="590">
        <f t="shared" ref="N98:N101" si="48">H98+J98+K98+L98+M98</f>
        <v>13171</v>
      </c>
      <c r="O98" s="590">
        <f t="shared" ref="O98:O101" si="49">N98*$O$13</f>
        <v>65855</v>
      </c>
      <c r="P98" s="601">
        <f>O98</f>
        <v>65855</v>
      </c>
      <c r="Q98" s="604">
        <f>ROUND(P98*8.41%,2)</f>
        <v>5538.41</v>
      </c>
      <c r="R98" s="568" t="s">
        <v>374</v>
      </c>
      <c r="S98" s="568" t="s">
        <v>371</v>
      </c>
      <c r="T98" s="568"/>
      <c r="U98" s="568"/>
      <c r="V98" s="568"/>
      <c r="W98" s="568"/>
      <c r="X98" s="568"/>
      <c r="Y98" s="568"/>
      <c r="Z98" s="568"/>
      <c r="AA98" s="568"/>
    </row>
    <row r="99" spans="1:27" s="573" customFormat="1" ht="26.25" customHeight="1" x14ac:dyDescent="0.25">
      <c r="A99" s="587">
        <v>54</v>
      </c>
      <c r="B99" s="588" t="s">
        <v>19</v>
      </c>
      <c r="C99" s="587">
        <v>1</v>
      </c>
      <c r="D99" s="587">
        <v>2</v>
      </c>
      <c r="E99" s="587"/>
      <c r="F99" s="587"/>
      <c r="G99" s="590">
        <f>ROUND($Y$2*$Y$3*D99*$Y$4,0)</f>
        <v>10976</v>
      </c>
      <c r="H99" s="590">
        <f>C99*G99</f>
        <v>10976</v>
      </c>
      <c r="I99" s="590"/>
      <c r="J99" s="590"/>
      <c r="K99" s="590"/>
      <c r="L99" s="590"/>
      <c r="M99" s="590"/>
      <c r="N99" s="590">
        <f t="shared" si="48"/>
        <v>10976</v>
      </c>
      <c r="O99" s="590">
        <f t="shared" si="49"/>
        <v>54880</v>
      </c>
      <c r="P99" s="601"/>
      <c r="Q99" s="568"/>
      <c r="R99" s="568"/>
      <c r="S99" s="568"/>
      <c r="T99" s="568"/>
      <c r="U99" s="568"/>
      <c r="V99" s="568"/>
      <c r="W99" s="568"/>
      <c r="X99" s="568"/>
      <c r="Y99" s="568"/>
      <c r="Z99" s="568"/>
      <c r="AA99" s="568"/>
    </row>
    <row r="100" spans="1:27" s="573" customFormat="1" ht="26.25" customHeight="1" x14ac:dyDescent="0.25">
      <c r="A100" s="587">
        <v>55</v>
      </c>
      <c r="B100" s="588" t="s">
        <v>113</v>
      </c>
      <c r="C100" s="587">
        <v>2</v>
      </c>
      <c r="D100" s="589">
        <v>2</v>
      </c>
      <c r="E100" s="587"/>
      <c r="F100" s="587"/>
      <c r="G100" s="590">
        <f>ROUND($Y$2*$Y$3*D100*$Y$4,0)</f>
        <v>10976</v>
      </c>
      <c r="H100" s="590">
        <f>C100*G100</f>
        <v>21952</v>
      </c>
      <c r="I100" s="590"/>
      <c r="J100" s="590"/>
      <c r="K100" s="590"/>
      <c r="L100" s="590"/>
      <c r="M100" s="590">
        <f>ROUND(((G100/$Y$5)*5.5)*C100,2)</f>
        <v>732.84</v>
      </c>
      <c r="N100" s="590">
        <f t="shared" si="48"/>
        <v>22684.84</v>
      </c>
      <c r="O100" s="590">
        <f t="shared" si="49"/>
        <v>113424.2</v>
      </c>
      <c r="P100" s="601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</row>
    <row r="101" spans="1:27" s="573" customFormat="1" ht="26.25" customHeight="1" x14ac:dyDescent="0.25">
      <c r="A101" s="587">
        <v>56</v>
      </c>
      <c r="B101" s="588" t="s">
        <v>135</v>
      </c>
      <c r="C101" s="587">
        <v>0.5</v>
      </c>
      <c r="D101" s="595">
        <v>1.5</v>
      </c>
      <c r="E101" s="587"/>
      <c r="F101" s="587"/>
      <c r="G101" s="590">
        <f>ROUND($Y$2*$Y$3*D101*$Y$4,0)</f>
        <v>8232</v>
      </c>
      <c r="H101" s="590">
        <f>C101*G101</f>
        <v>4116</v>
      </c>
      <c r="I101" s="590"/>
      <c r="J101" s="590"/>
      <c r="K101" s="590"/>
      <c r="L101" s="590"/>
      <c r="M101" s="590"/>
      <c r="N101" s="590">
        <f t="shared" si="48"/>
        <v>4116</v>
      </c>
      <c r="O101" s="590">
        <f t="shared" si="49"/>
        <v>20580</v>
      </c>
      <c r="P101" s="601"/>
      <c r="Q101" s="568"/>
      <c r="R101" s="568"/>
      <c r="S101" s="568"/>
      <c r="T101" s="568"/>
      <c r="U101" s="568"/>
      <c r="V101" s="568"/>
      <c r="W101" s="568"/>
      <c r="X101" s="568"/>
      <c r="Y101" s="568"/>
      <c r="Z101" s="568"/>
      <c r="AA101" s="568"/>
    </row>
    <row r="102" spans="1:27" s="573" customFormat="1" ht="26.25" customHeight="1" x14ac:dyDescent="0.25">
      <c r="A102" s="618" t="s">
        <v>335</v>
      </c>
      <c r="B102" s="618"/>
      <c r="C102" s="591">
        <f>SUM(C98:C101)</f>
        <v>4.5</v>
      </c>
      <c r="D102" s="591"/>
      <c r="E102" s="591"/>
      <c r="F102" s="591"/>
      <c r="G102" s="592"/>
      <c r="H102" s="592">
        <f t="shared" ref="H102" si="50">SUM(H98:H101)</f>
        <v>50215</v>
      </c>
      <c r="I102" s="592"/>
      <c r="J102" s="592"/>
      <c r="K102" s="592"/>
      <c r="L102" s="592"/>
      <c r="M102" s="592">
        <f t="shared" ref="M102" si="51">SUM(M98:M101)</f>
        <v>732.84</v>
      </c>
      <c r="N102" s="592">
        <f>SUM(N98:N101)</f>
        <v>50947.839999999997</v>
      </c>
      <c r="O102" s="592">
        <f>SUM(O98:O101)</f>
        <v>254739.20000000001</v>
      </c>
      <c r="P102" s="601"/>
      <c r="Q102" s="568"/>
      <c r="R102" s="568"/>
      <c r="S102" s="568"/>
      <c r="T102" s="568"/>
      <c r="U102" s="568"/>
      <c r="V102" s="568"/>
      <c r="W102" s="568"/>
      <c r="X102" s="568"/>
      <c r="Y102" s="568"/>
      <c r="Z102" s="568"/>
      <c r="AA102" s="568"/>
    </row>
    <row r="103" spans="1:27" s="573" customFormat="1" ht="26.25" customHeight="1" x14ac:dyDescent="0.25">
      <c r="A103" s="618" t="s">
        <v>137</v>
      </c>
      <c r="B103" s="618"/>
      <c r="C103" s="618"/>
      <c r="D103" s="618"/>
      <c r="E103" s="618"/>
      <c r="F103" s="618"/>
      <c r="G103" s="618"/>
      <c r="H103" s="618"/>
      <c r="I103" s="618"/>
      <c r="J103" s="618"/>
      <c r="K103" s="618"/>
      <c r="L103" s="618"/>
      <c r="M103" s="618"/>
      <c r="N103" s="618"/>
      <c r="O103" s="618"/>
      <c r="P103" s="601"/>
      <c r="Q103" s="568"/>
      <c r="R103" s="568"/>
      <c r="S103" s="568"/>
      <c r="T103" s="568"/>
      <c r="U103" s="568"/>
      <c r="V103" s="568"/>
      <c r="W103" s="568"/>
      <c r="X103" s="568"/>
      <c r="Y103" s="568"/>
      <c r="Z103" s="568"/>
      <c r="AA103" s="568"/>
    </row>
    <row r="104" spans="1:27" s="573" customFormat="1" ht="26.25" customHeight="1" x14ac:dyDescent="0.25">
      <c r="A104" s="587">
        <v>57</v>
      </c>
      <c r="B104" s="588" t="s">
        <v>20</v>
      </c>
      <c r="C104" s="587">
        <v>14</v>
      </c>
      <c r="D104" s="587" t="s">
        <v>70</v>
      </c>
      <c r="E104" s="587">
        <f>$S$13</f>
        <v>1.2</v>
      </c>
      <c r="F104" s="589">
        <v>45.45</v>
      </c>
      <c r="G104" s="590">
        <f>ROUND(F104*$Y$5,2)</f>
        <v>7487.89</v>
      </c>
      <c r="H104" s="590">
        <f>C104*G104</f>
        <v>104830.46</v>
      </c>
      <c r="I104" s="594">
        <v>0.04</v>
      </c>
      <c r="J104" s="590">
        <f t="shared" ref="J104" si="52">ROUND(H104*I104,2)</f>
        <v>4193.22</v>
      </c>
      <c r="K104" s="590"/>
      <c r="L104" s="590">
        <f>ROUND(((F104*53.23)*35%)*C104,2)</f>
        <v>11854.59</v>
      </c>
      <c r="M104" s="590">
        <f>ROUND((F104*5.5)*C104,2)</f>
        <v>3499.65</v>
      </c>
      <c r="N104" s="590">
        <f>H104+J104+K104+L104+M104</f>
        <v>124377.92</v>
      </c>
      <c r="O104" s="590">
        <f t="shared" ref="O104:O118" si="53">N104*$O$13</f>
        <v>621889.6</v>
      </c>
      <c r="P104" s="601"/>
      <c r="Q104" s="604"/>
      <c r="R104" s="568"/>
      <c r="S104" s="568"/>
      <c r="T104" s="568"/>
      <c r="U104" s="568"/>
      <c r="V104" s="568"/>
      <c r="W104" s="568"/>
      <c r="X104" s="568"/>
      <c r="Y104" s="568"/>
      <c r="Z104" s="568"/>
      <c r="AA104" s="568"/>
    </row>
    <row r="105" spans="1:27" s="573" customFormat="1" ht="30.75" customHeight="1" x14ac:dyDescent="0.25">
      <c r="A105" s="618" t="s">
        <v>21</v>
      </c>
      <c r="B105" s="618"/>
      <c r="C105" s="618"/>
      <c r="D105" s="618"/>
      <c r="E105" s="618"/>
      <c r="F105" s="618"/>
      <c r="G105" s="618"/>
      <c r="H105" s="618"/>
      <c r="I105" s="618"/>
      <c r="J105" s="618"/>
      <c r="K105" s="618"/>
      <c r="L105" s="618"/>
      <c r="M105" s="618"/>
      <c r="N105" s="618"/>
      <c r="O105" s="618"/>
      <c r="P105" s="601"/>
      <c r="Q105" s="568"/>
      <c r="R105" s="568"/>
      <c r="S105" s="568"/>
      <c r="T105" s="568"/>
      <c r="U105" s="568"/>
      <c r="V105" s="568"/>
      <c r="W105" s="568"/>
      <c r="X105" s="568"/>
      <c r="Y105" s="568"/>
      <c r="Z105" s="568"/>
      <c r="AA105" s="568"/>
    </row>
    <row r="106" spans="1:27" s="573" customFormat="1" ht="26.25" customHeight="1" x14ac:dyDescent="0.25">
      <c r="A106" s="587">
        <v>58</v>
      </c>
      <c r="B106" s="588" t="s">
        <v>20</v>
      </c>
      <c r="C106" s="587">
        <v>6</v>
      </c>
      <c r="D106" s="587" t="s">
        <v>70</v>
      </c>
      <c r="E106" s="587">
        <f>$S$13</f>
        <v>1.2</v>
      </c>
      <c r="F106" s="589">
        <v>45.45</v>
      </c>
      <c r="G106" s="590">
        <f>ROUND(F106*$Y$5,2)</f>
        <v>7487.89</v>
      </c>
      <c r="H106" s="590">
        <f>C106*G106</f>
        <v>44927.340000000004</v>
      </c>
      <c r="I106" s="594">
        <v>0.04</v>
      </c>
      <c r="J106" s="590">
        <f t="shared" ref="J106:J107" si="54">ROUND(H106*I106,2)</f>
        <v>1797.09</v>
      </c>
      <c r="K106" s="590"/>
      <c r="L106" s="590">
        <f t="shared" ref="L106:L107" si="55">ROUND(((F106*53.23)*35%)*C106,2)</f>
        <v>5080.54</v>
      </c>
      <c r="M106" s="590">
        <f t="shared" ref="M106:M107" si="56">ROUND((F106*5.5)*C106,2)</f>
        <v>1499.85</v>
      </c>
      <c r="N106" s="590">
        <f t="shared" ref="N106:N107" si="57">H106+J106+K106+L106+M106</f>
        <v>53304.82</v>
      </c>
      <c r="O106" s="590">
        <f t="shared" si="53"/>
        <v>266524.09999999998</v>
      </c>
      <c r="P106" s="601"/>
      <c r="Q106" s="568"/>
      <c r="R106" s="568"/>
      <c r="S106" s="568"/>
      <c r="T106" s="568"/>
      <c r="U106" s="568"/>
      <c r="V106" s="568"/>
      <c r="W106" s="568"/>
      <c r="X106" s="568"/>
      <c r="Y106" s="568"/>
      <c r="Z106" s="568"/>
      <c r="AA106" s="568"/>
    </row>
    <row r="107" spans="1:27" s="573" customFormat="1" ht="26.25" customHeight="1" x14ac:dyDescent="0.25">
      <c r="A107" s="587">
        <v>59</v>
      </c>
      <c r="B107" s="588" t="s">
        <v>20</v>
      </c>
      <c r="C107" s="587">
        <v>4</v>
      </c>
      <c r="D107" s="587" t="s">
        <v>138</v>
      </c>
      <c r="E107" s="589">
        <f>$R$13</f>
        <v>1.08</v>
      </c>
      <c r="F107" s="589">
        <v>40.909999999999997</v>
      </c>
      <c r="G107" s="590">
        <f>ROUND(F107*$Y$5,2)</f>
        <v>6739.92</v>
      </c>
      <c r="H107" s="590">
        <f>C107*G107</f>
        <v>26959.68</v>
      </c>
      <c r="I107" s="594">
        <v>0.04</v>
      </c>
      <c r="J107" s="590">
        <f t="shared" si="54"/>
        <v>1078.3900000000001</v>
      </c>
      <c r="K107" s="590"/>
      <c r="L107" s="590">
        <f t="shared" si="55"/>
        <v>3048.7</v>
      </c>
      <c r="M107" s="590">
        <f t="shared" si="56"/>
        <v>900.02</v>
      </c>
      <c r="N107" s="590">
        <f t="shared" si="57"/>
        <v>31986.79</v>
      </c>
      <c r="O107" s="590">
        <f t="shared" si="53"/>
        <v>159933.95000000001</v>
      </c>
      <c r="P107" s="601"/>
      <c r="Q107" s="568"/>
      <c r="R107" s="568"/>
      <c r="S107" s="568"/>
      <c r="T107" s="568"/>
      <c r="U107" s="568"/>
      <c r="V107" s="568"/>
      <c r="W107" s="568"/>
      <c r="X107" s="568"/>
      <c r="Y107" s="568"/>
      <c r="Z107" s="568"/>
      <c r="AA107" s="568"/>
    </row>
    <row r="108" spans="1:27" s="573" customFormat="1" ht="30.75" customHeight="1" x14ac:dyDescent="0.25">
      <c r="A108" s="618" t="s">
        <v>255</v>
      </c>
      <c r="B108" s="618"/>
      <c r="C108" s="618"/>
      <c r="D108" s="618"/>
      <c r="E108" s="618"/>
      <c r="F108" s="618"/>
      <c r="G108" s="618"/>
      <c r="H108" s="618"/>
      <c r="I108" s="618"/>
      <c r="J108" s="618"/>
      <c r="K108" s="618"/>
      <c r="L108" s="618"/>
      <c r="M108" s="618"/>
      <c r="N108" s="618"/>
      <c r="O108" s="618"/>
      <c r="P108" s="601"/>
      <c r="Q108" s="568"/>
      <c r="R108" s="568"/>
      <c r="S108" s="568"/>
      <c r="T108" s="568"/>
      <c r="U108" s="568"/>
      <c r="V108" s="568"/>
      <c r="W108" s="568"/>
      <c r="X108" s="568"/>
      <c r="Y108" s="568"/>
      <c r="Z108" s="568"/>
      <c r="AA108" s="568"/>
    </row>
    <row r="109" spans="1:27" s="573" customFormat="1" ht="26.25" customHeight="1" x14ac:dyDescent="0.25">
      <c r="A109" s="587">
        <v>60</v>
      </c>
      <c r="B109" s="588" t="s">
        <v>20</v>
      </c>
      <c r="C109" s="587">
        <v>1</v>
      </c>
      <c r="D109" s="587" t="s">
        <v>70</v>
      </c>
      <c r="E109" s="587">
        <f>$S$13</f>
        <v>1.2</v>
      </c>
      <c r="F109" s="589">
        <v>45.45</v>
      </c>
      <c r="G109" s="590">
        <f>ROUND(F109*$Y$5,2)</f>
        <v>7487.89</v>
      </c>
      <c r="H109" s="590">
        <f>C109*G109</f>
        <v>7487.89</v>
      </c>
      <c r="I109" s="594">
        <v>0.04</v>
      </c>
      <c r="J109" s="590">
        <f t="shared" ref="J109" si="58">ROUND(H109*I109,2)</f>
        <v>299.52</v>
      </c>
      <c r="K109" s="590"/>
      <c r="L109" s="590"/>
      <c r="M109" s="590"/>
      <c r="N109" s="590">
        <f t="shared" ref="N109" si="59">H109+J109+K109+L109+M109</f>
        <v>7787.41</v>
      </c>
      <c r="O109" s="590">
        <f t="shared" si="53"/>
        <v>38937.050000000003</v>
      </c>
      <c r="P109" s="601"/>
      <c r="Q109" s="568"/>
      <c r="R109" s="568"/>
      <c r="S109" s="568"/>
      <c r="T109" s="568"/>
      <c r="U109" s="568"/>
      <c r="V109" s="568"/>
      <c r="W109" s="568"/>
      <c r="X109" s="568"/>
      <c r="Y109" s="568"/>
      <c r="Z109" s="568"/>
      <c r="AA109" s="568"/>
    </row>
    <row r="110" spans="1:27" s="573" customFormat="1" ht="26.25" customHeight="1" x14ac:dyDescent="0.25">
      <c r="A110" s="618" t="s">
        <v>360</v>
      </c>
      <c r="B110" s="618"/>
      <c r="C110" s="618"/>
      <c r="D110" s="618"/>
      <c r="E110" s="618"/>
      <c r="F110" s="618"/>
      <c r="G110" s="618"/>
      <c r="H110" s="618"/>
      <c r="I110" s="618"/>
      <c r="J110" s="618"/>
      <c r="K110" s="618"/>
      <c r="L110" s="618"/>
      <c r="M110" s="618"/>
      <c r="N110" s="618"/>
      <c r="O110" s="618"/>
      <c r="P110" s="601"/>
      <c r="Q110" s="568"/>
      <c r="R110" s="568"/>
      <c r="S110" s="568"/>
      <c r="T110" s="568"/>
      <c r="U110" s="568"/>
      <c r="V110" s="568"/>
      <c r="W110" s="568"/>
      <c r="X110" s="568"/>
      <c r="Y110" s="568"/>
      <c r="Z110" s="568"/>
      <c r="AA110" s="568"/>
    </row>
    <row r="111" spans="1:27" s="573" customFormat="1" ht="26.25" customHeight="1" x14ac:dyDescent="0.25">
      <c r="A111" s="587">
        <v>61</v>
      </c>
      <c r="B111" s="588" t="s">
        <v>24</v>
      </c>
      <c r="C111" s="587">
        <v>5</v>
      </c>
      <c r="D111" s="587" t="s">
        <v>70</v>
      </c>
      <c r="E111" s="587">
        <f>$S$13</f>
        <v>1.2</v>
      </c>
      <c r="F111" s="589">
        <v>45.45</v>
      </c>
      <c r="G111" s="590">
        <f>ROUND(F111*$Y$5,2)</f>
        <v>7487.89</v>
      </c>
      <c r="H111" s="590">
        <f t="shared" ref="H111:H115" si="60">C111*G111</f>
        <v>37439.450000000004</v>
      </c>
      <c r="I111" s="594">
        <v>0.04</v>
      </c>
      <c r="J111" s="590">
        <f t="shared" ref="J111" si="61">ROUND(H111*I111,2)</f>
        <v>1497.58</v>
      </c>
      <c r="K111" s="590"/>
      <c r="L111" s="590">
        <f t="shared" ref="L111:L112" si="62">ROUND(((F111*53.23)*35%)*C111,2)</f>
        <v>4233.78</v>
      </c>
      <c r="M111" s="590">
        <f t="shared" ref="M111" si="63">ROUND((F111*5.5)*C111,2)</f>
        <v>1249.8800000000001</v>
      </c>
      <c r="N111" s="590">
        <f t="shared" ref="N111:N115" si="64">H111+J111+K111+L111+M111</f>
        <v>44420.69</v>
      </c>
      <c r="O111" s="590">
        <f t="shared" si="53"/>
        <v>222103.45</v>
      </c>
      <c r="P111" s="601">
        <f>O111/C111</f>
        <v>44420.69</v>
      </c>
      <c r="Q111" s="604">
        <f>ROUND(P111*8.41%,2)</f>
        <v>3735.78</v>
      </c>
      <c r="R111" s="568" t="s">
        <v>336</v>
      </c>
      <c r="S111" s="568" t="s">
        <v>371</v>
      </c>
      <c r="T111" s="568"/>
      <c r="U111" s="568"/>
      <c r="V111" s="568"/>
      <c r="W111" s="568"/>
      <c r="X111" s="568"/>
      <c r="Y111" s="568"/>
      <c r="Z111" s="568"/>
      <c r="AA111" s="568"/>
    </row>
    <row r="112" spans="1:27" s="573" customFormat="1" ht="26.25" customHeight="1" x14ac:dyDescent="0.25">
      <c r="A112" s="587">
        <v>62</v>
      </c>
      <c r="B112" s="588" t="s">
        <v>25</v>
      </c>
      <c r="C112" s="587">
        <v>5</v>
      </c>
      <c r="D112" s="587" t="s">
        <v>70</v>
      </c>
      <c r="E112" s="587">
        <f>$S$13</f>
        <v>1.2</v>
      </c>
      <c r="F112" s="589">
        <v>45.45</v>
      </c>
      <c r="G112" s="590">
        <f>ROUND(F112*$Y$5,2)</f>
        <v>7487.89</v>
      </c>
      <c r="H112" s="590">
        <f t="shared" si="60"/>
        <v>37439.450000000004</v>
      </c>
      <c r="I112" s="590"/>
      <c r="J112" s="590"/>
      <c r="K112" s="590"/>
      <c r="L112" s="590">
        <f t="shared" si="62"/>
        <v>4233.78</v>
      </c>
      <c r="M112" s="590">
        <f>ROUND((F112*5.5)*C112,2)</f>
        <v>1249.8800000000001</v>
      </c>
      <c r="N112" s="590">
        <f t="shared" si="64"/>
        <v>42923.11</v>
      </c>
      <c r="O112" s="590">
        <f t="shared" si="53"/>
        <v>214615.55</v>
      </c>
      <c r="P112" s="601"/>
      <c r="Q112" s="568"/>
      <c r="R112" s="568"/>
      <c r="S112" s="568"/>
      <c r="T112" s="568"/>
      <c r="U112" s="568"/>
      <c r="V112" s="568"/>
      <c r="W112" s="568"/>
      <c r="X112" s="568"/>
      <c r="Y112" s="568"/>
      <c r="Z112" s="568"/>
      <c r="AA112" s="568"/>
    </row>
    <row r="113" spans="1:27" s="573" customFormat="1" ht="26.25" customHeight="1" x14ac:dyDescent="0.25">
      <c r="A113" s="587">
        <v>63</v>
      </c>
      <c r="B113" s="588" t="s">
        <v>26</v>
      </c>
      <c r="C113" s="587">
        <v>1</v>
      </c>
      <c r="D113" s="587" t="s">
        <v>115</v>
      </c>
      <c r="E113" s="587">
        <f>$T$13</f>
        <v>1.35</v>
      </c>
      <c r="F113" s="589">
        <v>51.14</v>
      </c>
      <c r="G113" s="590">
        <f>ROUND(F113*$Y$5,2)</f>
        <v>8425.32</v>
      </c>
      <c r="H113" s="590">
        <f t="shared" si="60"/>
        <v>8425.32</v>
      </c>
      <c r="I113" s="594">
        <v>0.04</v>
      </c>
      <c r="J113" s="590">
        <f t="shared" ref="J113" si="65">ROUND(H113*I113,2)</f>
        <v>337.01</v>
      </c>
      <c r="K113" s="590"/>
      <c r="L113" s="590"/>
      <c r="M113" s="590"/>
      <c r="N113" s="590">
        <f t="shared" si="64"/>
        <v>8762.33</v>
      </c>
      <c r="O113" s="590">
        <f t="shared" si="53"/>
        <v>43811.65</v>
      </c>
      <c r="P113" s="601"/>
      <c r="Q113" s="604"/>
      <c r="R113" s="568"/>
      <c r="S113" s="568"/>
      <c r="T113" s="568"/>
      <c r="U113" s="568"/>
      <c r="V113" s="568"/>
      <c r="W113" s="568"/>
      <c r="X113" s="568"/>
      <c r="Y113" s="568"/>
      <c r="Z113" s="568"/>
      <c r="AA113" s="568"/>
    </row>
    <row r="114" spans="1:27" s="573" customFormat="1" ht="41.25" customHeight="1" x14ac:dyDescent="0.25">
      <c r="A114" s="587">
        <v>64</v>
      </c>
      <c r="B114" s="588" t="s">
        <v>27</v>
      </c>
      <c r="C114" s="587">
        <v>4</v>
      </c>
      <c r="D114" s="587" t="s">
        <v>123</v>
      </c>
      <c r="E114" s="587">
        <f>$U$13</f>
        <v>1.54</v>
      </c>
      <c r="F114" s="589">
        <v>58.33</v>
      </c>
      <c r="G114" s="590">
        <f>ROUND(F114*$Y$5,2)</f>
        <v>9609.8700000000008</v>
      </c>
      <c r="H114" s="590">
        <f t="shared" si="60"/>
        <v>38439.480000000003</v>
      </c>
      <c r="I114" s="594">
        <v>0.04</v>
      </c>
      <c r="J114" s="590">
        <f>ROUND(H114*I114,2)</f>
        <v>1537.58</v>
      </c>
      <c r="K114" s="590"/>
      <c r="L114" s="590"/>
      <c r="M114" s="590"/>
      <c r="N114" s="590">
        <f t="shared" si="64"/>
        <v>39977.060000000005</v>
      </c>
      <c r="O114" s="590">
        <f t="shared" si="53"/>
        <v>199885.30000000002</v>
      </c>
      <c r="P114" s="601"/>
      <c r="Q114" s="568"/>
      <c r="R114" s="568"/>
      <c r="S114" s="568"/>
      <c r="T114" s="568"/>
      <c r="U114" s="568"/>
      <c r="V114" s="568"/>
      <c r="W114" s="568"/>
      <c r="X114" s="568"/>
      <c r="Y114" s="568"/>
      <c r="Z114" s="568"/>
      <c r="AA114" s="568"/>
    </row>
    <row r="115" spans="1:27" s="573" customFormat="1" ht="26.25" customHeight="1" x14ac:dyDescent="0.25">
      <c r="A115" s="587">
        <v>65</v>
      </c>
      <c r="B115" s="588" t="s">
        <v>29</v>
      </c>
      <c r="C115" s="587">
        <v>1</v>
      </c>
      <c r="D115" s="587" t="s">
        <v>123</v>
      </c>
      <c r="E115" s="587">
        <f>$U$13</f>
        <v>1.54</v>
      </c>
      <c r="F115" s="589">
        <v>58.33</v>
      </c>
      <c r="G115" s="590">
        <f>ROUND(F115*$Y$5,2)</f>
        <v>9609.8700000000008</v>
      </c>
      <c r="H115" s="590">
        <f t="shared" si="60"/>
        <v>9609.8700000000008</v>
      </c>
      <c r="I115" s="594">
        <v>0.12</v>
      </c>
      <c r="J115" s="590">
        <f>ROUND(H115*I115,2)</f>
        <v>1153.18</v>
      </c>
      <c r="K115" s="590"/>
      <c r="L115" s="590"/>
      <c r="M115" s="590"/>
      <c r="N115" s="590">
        <f t="shared" si="64"/>
        <v>10763.050000000001</v>
      </c>
      <c r="O115" s="590">
        <f t="shared" si="53"/>
        <v>53815.250000000007</v>
      </c>
      <c r="P115" s="601"/>
      <c r="Q115" s="568"/>
      <c r="R115" s="568"/>
      <c r="S115" s="568"/>
      <c r="T115" s="568"/>
      <c r="U115" s="568"/>
      <c r="V115" s="568"/>
      <c r="W115" s="568"/>
      <c r="X115" s="568"/>
      <c r="Y115" s="568"/>
      <c r="Z115" s="568"/>
      <c r="AA115" s="568"/>
    </row>
    <row r="116" spans="1:27" s="573" customFormat="1" ht="23.25" customHeight="1" x14ac:dyDescent="0.25">
      <c r="A116" s="618" t="s">
        <v>337</v>
      </c>
      <c r="B116" s="618"/>
      <c r="C116" s="618"/>
      <c r="D116" s="618"/>
      <c r="E116" s="618"/>
      <c r="F116" s="618"/>
      <c r="G116" s="618"/>
      <c r="H116" s="618"/>
      <c r="I116" s="618"/>
      <c r="J116" s="618"/>
      <c r="K116" s="618"/>
      <c r="L116" s="618"/>
      <c r="M116" s="618"/>
      <c r="N116" s="618"/>
      <c r="O116" s="618"/>
      <c r="P116" s="601"/>
      <c r="Q116" s="568"/>
      <c r="R116" s="568"/>
      <c r="S116" s="568"/>
      <c r="T116" s="568"/>
      <c r="U116" s="568"/>
      <c r="V116" s="568"/>
      <c r="W116" s="568"/>
      <c r="X116" s="568"/>
      <c r="Y116" s="568"/>
      <c r="Z116" s="568"/>
      <c r="AA116" s="568"/>
    </row>
    <row r="117" spans="1:27" s="573" customFormat="1" ht="26.25" customHeight="1" x14ac:dyDescent="0.25">
      <c r="A117" s="587">
        <v>66</v>
      </c>
      <c r="B117" s="588" t="s">
        <v>31</v>
      </c>
      <c r="C117" s="587">
        <v>1</v>
      </c>
      <c r="D117" s="587">
        <v>1.3</v>
      </c>
      <c r="E117" s="587"/>
      <c r="F117" s="587"/>
      <c r="G117" s="590">
        <f>ROUND($Y$2*$Z$3*D117*$Y$4,0)</f>
        <v>7134</v>
      </c>
      <c r="H117" s="590">
        <f>C117*G117</f>
        <v>7134</v>
      </c>
      <c r="I117" s="590"/>
      <c r="J117" s="590"/>
      <c r="K117" s="590"/>
      <c r="L117" s="590"/>
      <c r="M117" s="590"/>
      <c r="N117" s="590">
        <f t="shared" ref="N117:N118" si="66">H117+J117+K117+L117+M117</f>
        <v>7134</v>
      </c>
      <c r="O117" s="590">
        <f t="shared" si="53"/>
        <v>35670</v>
      </c>
      <c r="P117" s="601"/>
      <c r="Q117" s="568"/>
      <c r="R117" s="568"/>
      <c r="S117" s="568"/>
      <c r="T117" s="568"/>
      <c r="U117" s="568"/>
      <c r="V117" s="568"/>
      <c r="W117" s="568"/>
      <c r="X117" s="568"/>
      <c r="Y117" s="568"/>
      <c r="Z117" s="568"/>
      <c r="AA117" s="568"/>
    </row>
    <row r="118" spans="1:27" s="573" customFormat="1" ht="40.5" customHeight="1" x14ac:dyDescent="0.25">
      <c r="A118" s="587">
        <v>67</v>
      </c>
      <c r="B118" s="588" t="s">
        <v>32</v>
      </c>
      <c r="C118" s="587">
        <v>1</v>
      </c>
      <c r="D118" s="587">
        <v>1.3</v>
      </c>
      <c r="E118" s="587"/>
      <c r="F118" s="587"/>
      <c r="G118" s="590">
        <f>ROUND($Y$2*$Z$3*D118*$Y$4,0)</f>
        <v>7134</v>
      </c>
      <c r="H118" s="590">
        <f>C118*G118</f>
        <v>7134</v>
      </c>
      <c r="I118" s="594">
        <v>0.04</v>
      </c>
      <c r="J118" s="590">
        <f t="shared" ref="J118" si="67">ROUND(H118*I118,2)</f>
        <v>285.36</v>
      </c>
      <c r="K118" s="590"/>
      <c r="L118" s="590"/>
      <c r="M118" s="590"/>
      <c r="N118" s="590">
        <f t="shared" si="66"/>
        <v>7419.36</v>
      </c>
      <c r="O118" s="590">
        <f t="shared" si="53"/>
        <v>37096.799999999996</v>
      </c>
      <c r="P118" s="601">
        <f>O118</f>
        <v>37096.799999999996</v>
      </c>
      <c r="Q118" s="604">
        <f>ROUND(P118*8.41%,2)</f>
        <v>3119.84</v>
      </c>
      <c r="R118" s="568" t="s">
        <v>338</v>
      </c>
      <c r="S118" s="568" t="s">
        <v>371</v>
      </c>
      <c r="T118" s="568"/>
      <c r="U118" s="568"/>
      <c r="V118" s="568"/>
      <c r="W118" s="568"/>
      <c r="X118" s="568"/>
      <c r="Y118" s="568"/>
      <c r="Z118" s="568"/>
      <c r="AA118" s="568"/>
    </row>
    <row r="119" spans="1:27" s="573" customFormat="1" ht="41.25" customHeight="1" x14ac:dyDescent="0.25">
      <c r="A119" s="618" t="s">
        <v>339</v>
      </c>
      <c r="B119" s="618"/>
      <c r="C119" s="591">
        <f>SUM(C104:C118)</f>
        <v>43</v>
      </c>
      <c r="D119" s="591"/>
      <c r="E119" s="591"/>
      <c r="F119" s="591"/>
      <c r="G119" s="592"/>
      <c r="H119" s="592">
        <f>SUM(H104:H118)</f>
        <v>329826.94</v>
      </c>
      <c r="I119" s="592"/>
      <c r="J119" s="592">
        <f>SUM(J104:J118)</f>
        <v>12178.930000000002</v>
      </c>
      <c r="K119" s="592"/>
      <c r="L119" s="592">
        <f>SUM(L104:L118)</f>
        <v>28451.39</v>
      </c>
      <c r="M119" s="592">
        <f>SUM(M104:M118)</f>
        <v>8399.2800000000007</v>
      </c>
      <c r="N119" s="592">
        <f>SUM(N104:N118)</f>
        <v>378856.54</v>
      </c>
      <c r="O119" s="592">
        <f>SUM(O104:O118)</f>
        <v>1894282.7</v>
      </c>
      <c r="P119" s="601"/>
      <c r="Q119" s="568"/>
      <c r="R119" s="568"/>
      <c r="S119" s="568"/>
      <c r="T119" s="568"/>
      <c r="U119" s="568"/>
      <c r="V119" s="568"/>
      <c r="W119" s="568"/>
      <c r="X119" s="568"/>
      <c r="Y119" s="568"/>
      <c r="Z119" s="568"/>
      <c r="AA119" s="568"/>
    </row>
    <row r="120" spans="1:27" s="573" customFormat="1" ht="26.25" customHeight="1" x14ac:dyDescent="0.25">
      <c r="A120" s="618" t="s">
        <v>33</v>
      </c>
      <c r="B120" s="618"/>
      <c r="C120" s="599">
        <f>C102+C119</f>
        <v>47.5</v>
      </c>
      <c r="D120" s="599"/>
      <c r="E120" s="599"/>
      <c r="F120" s="599"/>
      <c r="G120" s="592"/>
      <c r="H120" s="592">
        <f>H102+H119</f>
        <v>380041.94</v>
      </c>
      <c r="I120" s="592"/>
      <c r="J120" s="592">
        <f t="shared" ref="J120:M120" si="68">J102+J119</f>
        <v>12178.930000000002</v>
      </c>
      <c r="K120" s="592"/>
      <c r="L120" s="592">
        <f t="shared" si="68"/>
        <v>28451.39</v>
      </c>
      <c r="M120" s="592">
        <f t="shared" si="68"/>
        <v>9132.1200000000008</v>
      </c>
      <c r="N120" s="592">
        <f>N102+N119</f>
        <v>429804.38</v>
      </c>
      <c r="O120" s="592">
        <f>O102+O119</f>
        <v>2149021.9</v>
      </c>
      <c r="P120" s="602">
        <f>ROUND((O120-P98-P111-P118)*22%,2)</f>
        <v>440362.87</v>
      </c>
      <c r="Q120" s="568" t="s">
        <v>371</v>
      </c>
      <c r="R120" s="568"/>
      <c r="S120" s="568"/>
      <c r="T120" s="568"/>
      <c r="U120" s="568"/>
      <c r="V120" s="568"/>
      <c r="W120" s="568"/>
      <c r="X120" s="568"/>
      <c r="Y120" s="568"/>
      <c r="Z120" s="568"/>
      <c r="AA120" s="568"/>
    </row>
    <row r="121" spans="1:27" s="573" customFormat="1" ht="26.25" customHeight="1" x14ac:dyDescent="0.25">
      <c r="A121" s="619" t="s">
        <v>146</v>
      </c>
      <c r="B121" s="619"/>
      <c r="C121" s="619"/>
      <c r="D121" s="619"/>
      <c r="E121" s="619"/>
      <c r="F121" s="619"/>
      <c r="G121" s="619"/>
      <c r="H121" s="619"/>
      <c r="I121" s="619"/>
      <c r="J121" s="619"/>
      <c r="K121" s="619"/>
      <c r="L121" s="619"/>
      <c r="M121" s="619"/>
      <c r="N121" s="619"/>
      <c r="O121" s="619"/>
      <c r="P121" s="601"/>
      <c r="Q121" s="568"/>
      <c r="R121" s="568"/>
      <c r="S121" s="568"/>
      <c r="T121" s="568"/>
      <c r="U121" s="568"/>
      <c r="V121" s="568"/>
      <c r="W121" s="568"/>
      <c r="X121" s="568"/>
      <c r="Y121" s="568"/>
      <c r="Z121" s="568"/>
      <c r="AA121" s="568"/>
    </row>
    <row r="122" spans="1:27" s="573" customFormat="1" ht="26.25" customHeight="1" x14ac:dyDescent="0.25">
      <c r="A122" s="587">
        <v>68</v>
      </c>
      <c r="B122" s="588" t="s">
        <v>18</v>
      </c>
      <c r="C122" s="587">
        <v>1</v>
      </c>
      <c r="D122" s="587">
        <v>2.4</v>
      </c>
      <c r="E122" s="587"/>
      <c r="F122" s="587"/>
      <c r="G122" s="590">
        <f>ROUND($Y$2*$Y$3*D122*$Y$4,0)</f>
        <v>13171</v>
      </c>
      <c r="H122" s="590">
        <f>C122*G122</f>
        <v>13171</v>
      </c>
      <c r="I122" s="590"/>
      <c r="J122" s="590"/>
      <c r="K122" s="590"/>
      <c r="L122" s="590"/>
      <c r="M122" s="590"/>
      <c r="N122" s="590">
        <f t="shared" ref="N122:N123" si="69">H122+J122+K122+L122+M122</f>
        <v>13171</v>
      </c>
      <c r="O122" s="590">
        <f t="shared" ref="O122:O123" si="70">N122*$O$13</f>
        <v>65855</v>
      </c>
      <c r="P122" s="601"/>
      <c r="Q122" s="568"/>
      <c r="R122" s="568"/>
      <c r="S122" s="568"/>
      <c r="T122" s="568"/>
      <c r="U122" s="568"/>
      <c r="V122" s="568"/>
      <c r="W122" s="568"/>
      <c r="X122" s="568"/>
      <c r="Y122" s="568"/>
      <c r="Z122" s="568"/>
      <c r="AA122" s="568"/>
    </row>
    <row r="123" spans="1:27" s="573" customFormat="1" ht="26.25" customHeight="1" x14ac:dyDescent="0.25">
      <c r="A123" s="587">
        <v>69</v>
      </c>
      <c r="B123" s="588" t="s">
        <v>113</v>
      </c>
      <c r="C123" s="587">
        <v>2</v>
      </c>
      <c r="D123" s="587">
        <v>2</v>
      </c>
      <c r="E123" s="587"/>
      <c r="F123" s="587"/>
      <c r="G123" s="590">
        <f>ROUND($Y$2*$Y$3*D123*$Y$4,0)</f>
        <v>10976</v>
      </c>
      <c r="H123" s="590">
        <f>C123*G123</f>
        <v>21952</v>
      </c>
      <c r="I123" s="590"/>
      <c r="J123" s="590"/>
      <c r="K123" s="590"/>
      <c r="L123" s="590"/>
      <c r="M123" s="590">
        <f>ROUND(((G123/$Y$5)*5.5)*C123,2)</f>
        <v>732.84</v>
      </c>
      <c r="N123" s="590">
        <f t="shared" si="69"/>
        <v>22684.84</v>
      </c>
      <c r="O123" s="590">
        <f t="shared" si="70"/>
        <v>113424.2</v>
      </c>
      <c r="P123" s="601"/>
      <c r="Q123" s="568"/>
      <c r="R123" s="568"/>
      <c r="S123" s="568"/>
      <c r="T123" s="568"/>
      <c r="U123" s="568"/>
      <c r="V123" s="568"/>
      <c r="W123" s="568"/>
      <c r="X123" s="568"/>
      <c r="Y123" s="568"/>
      <c r="Z123" s="568"/>
      <c r="AA123" s="568"/>
    </row>
    <row r="124" spans="1:27" s="573" customFormat="1" ht="26.25" customHeight="1" x14ac:dyDescent="0.25">
      <c r="A124" s="618" t="s">
        <v>340</v>
      </c>
      <c r="B124" s="618"/>
      <c r="C124" s="618"/>
      <c r="D124" s="618"/>
      <c r="E124" s="618"/>
      <c r="F124" s="618"/>
      <c r="G124" s="618"/>
      <c r="H124" s="618"/>
      <c r="I124" s="618"/>
      <c r="J124" s="618"/>
      <c r="K124" s="618"/>
      <c r="L124" s="618"/>
      <c r="M124" s="618"/>
      <c r="N124" s="618"/>
      <c r="O124" s="618"/>
      <c r="P124" s="601"/>
      <c r="Q124" s="568"/>
      <c r="R124" s="568"/>
      <c r="S124" s="568"/>
      <c r="T124" s="568"/>
      <c r="U124" s="568"/>
      <c r="V124" s="568"/>
      <c r="W124" s="568"/>
      <c r="X124" s="568"/>
      <c r="Y124" s="568"/>
      <c r="Z124" s="568"/>
      <c r="AA124" s="568"/>
    </row>
    <row r="125" spans="1:27" s="573" customFormat="1" ht="41.25" customHeight="1" x14ac:dyDescent="0.25">
      <c r="A125" s="587">
        <v>70</v>
      </c>
      <c r="B125" s="588" t="s">
        <v>361</v>
      </c>
      <c r="C125" s="587">
        <v>4</v>
      </c>
      <c r="D125" s="587" t="s">
        <v>70</v>
      </c>
      <c r="E125" s="587">
        <f>$S$13</f>
        <v>1.2</v>
      </c>
      <c r="F125" s="589">
        <v>45.45</v>
      </c>
      <c r="G125" s="590">
        <f>ROUND(F125*$Y$5,2)</f>
        <v>7487.89</v>
      </c>
      <c r="H125" s="590">
        <f>C125*G125</f>
        <v>29951.56</v>
      </c>
      <c r="I125" s="590"/>
      <c r="J125" s="590"/>
      <c r="K125" s="590"/>
      <c r="L125" s="590">
        <f>ROUND(((F125*53.23)*35%)*C125,2)</f>
        <v>3387.02</v>
      </c>
      <c r="M125" s="590">
        <f>ROUND((F125*5.5)*C125,2)</f>
        <v>999.9</v>
      </c>
      <c r="N125" s="590">
        <f t="shared" ref="N125" si="71">H125+J125+K125+L125+M125</f>
        <v>34338.480000000003</v>
      </c>
      <c r="O125" s="590">
        <f t="shared" ref="O125" si="72">N125*$O$13</f>
        <v>171692.40000000002</v>
      </c>
      <c r="P125" s="601"/>
      <c r="Q125" s="568"/>
      <c r="R125" s="568"/>
      <c r="S125" s="568"/>
      <c r="T125" s="568"/>
      <c r="U125" s="568"/>
      <c r="V125" s="568"/>
      <c r="W125" s="568"/>
      <c r="X125" s="568"/>
      <c r="Y125" s="568"/>
      <c r="Z125" s="568"/>
      <c r="AA125" s="568"/>
    </row>
    <row r="126" spans="1:27" s="573" customFormat="1" ht="30.75" customHeight="1" x14ac:dyDescent="0.25">
      <c r="A126" s="618" t="s">
        <v>58</v>
      </c>
      <c r="B126" s="618"/>
      <c r="C126" s="618"/>
      <c r="D126" s="618"/>
      <c r="E126" s="618"/>
      <c r="F126" s="618"/>
      <c r="G126" s="618"/>
      <c r="H126" s="618"/>
      <c r="I126" s="618"/>
      <c r="J126" s="618"/>
      <c r="K126" s="618"/>
      <c r="L126" s="618"/>
      <c r="M126" s="618"/>
      <c r="N126" s="618"/>
      <c r="O126" s="618"/>
      <c r="P126" s="601"/>
      <c r="Q126" s="568"/>
      <c r="R126" s="568"/>
      <c r="S126" s="568"/>
      <c r="T126" s="568"/>
      <c r="U126" s="568"/>
      <c r="V126" s="568"/>
      <c r="W126" s="568"/>
      <c r="X126" s="568"/>
      <c r="Y126" s="568"/>
      <c r="Z126" s="568"/>
      <c r="AA126" s="568"/>
    </row>
    <row r="127" spans="1:27" s="573" customFormat="1" ht="37.5" customHeight="1" x14ac:dyDescent="0.25">
      <c r="A127" s="587">
        <v>71</v>
      </c>
      <c r="B127" s="588" t="s">
        <v>27</v>
      </c>
      <c r="C127" s="587">
        <v>1</v>
      </c>
      <c r="D127" s="587" t="s">
        <v>115</v>
      </c>
      <c r="E127" s="587">
        <f>$T$13</f>
        <v>1.35</v>
      </c>
      <c r="F127" s="589">
        <v>51.14</v>
      </c>
      <c r="G127" s="590">
        <f>ROUND(F127*$Y$5,2)</f>
        <v>8425.32</v>
      </c>
      <c r="H127" s="590">
        <f>C127*G127</f>
        <v>8425.32</v>
      </c>
      <c r="I127" s="594">
        <v>0.08</v>
      </c>
      <c r="J127" s="590">
        <f t="shared" ref="J127:J129" si="73">ROUND(H127*I127,2)</f>
        <v>674.03</v>
      </c>
      <c r="K127" s="590"/>
      <c r="L127" s="590">
        <f t="shared" ref="L127" si="74">ROUND(((F127*53.23)*35%)*C127,2)</f>
        <v>952.76</v>
      </c>
      <c r="M127" s="590">
        <f t="shared" ref="M127:M128" si="75">ROUND((F127*5.5)*C127,2)</f>
        <v>281.27</v>
      </c>
      <c r="N127" s="590">
        <f t="shared" ref="N127" si="76">H127+J127+K127+L127+M127</f>
        <v>10333.380000000001</v>
      </c>
      <c r="O127" s="590">
        <f t="shared" ref="O127:O143" si="77">N127*$O$13</f>
        <v>51666.900000000009</v>
      </c>
      <c r="P127" s="601">
        <f>O127</f>
        <v>51666.900000000009</v>
      </c>
      <c r="Q127" s="604">
        <f>ROUND(P127*8.41%,2)</f>
        <v>4345.1899999999996</v>
      </c>
      <c r="R127" s="568" t="s">
        <v>341</v>
      </c>
      <c r="S127" s="568" t="s">
        <v>371</v>
      </c>
      <c r="T127" s="568"/>
      <c r="U127" s="568"/>
      <c r="V127" s="568"/>
      <c r="W127" s="568"/>
      <c r="X127" s="568"/>
      <c r="Y127" s="568"/>
      <c r="Z127" s="568"/>
      <c r="AA127" s="568"/>
    </row>
    <row r="128" spans="1:27" s="573" customFormat="1" ht="37.5" customHeight="1" x14ac:dyDescent="0.25">
      <c r="A128" s="587">
        <v>72</v>
      </c>
      <c r="B128" s="588" t="s">
        <v>27</v>
      </c>
      <c r="C128" s="587">
        <v>3</v>
      </c>
      <c r="D128" s="587" t="s">
        <v>123</v>
      </c>
      <c r="E128" s="587">
        <f>$U$13</f>
        <v>1.54</v>
      </c>
      <c r="F128" s="589">
        <v>58.33</v>
      </c>
      <c r="G128" s="590">
        <f>ROUND(F128*$Y$5,2)</f>
        <v>9609.8700000000008</v>
      </c>
      <c r="H128" s="590">
        <f>C128*G128</f>
        <v>28829.61</v>
      </c>
      <c r="I128" s="594">
        <v>0.08</v>
      </c>
      <c r="J128" s="590">
        <f t="shared" si="73"/>
        <v>2306.37</v>
      </c>
      <c r="K128" s="590"/>
      <c r="L128" s="590"/>
      <c r="M128" s="590">
        <f t="shared" si="75"/>
        <v>962.45</v>
      </c>
      <c r="N128" s="590">
        <f t="shared" ref="N128:N129" si="78">H128+J128+K128+L128+M128</f>
        <v>32098.43</v>
      </c>
      <c r="O128" s="590">
        <f t="shared" si="77"/>
        <v>160492.15</v>
      </c>
      <c r="P128" s="601"/>
      <c r="Q128" s="604"/>
      <c r="R128" s="568"/>
      <c r="S128" s="568"/>
      <c r="T128" s="568"/>
      <c r="U128" s="568"/>
      <c r="V128" s="568"/>
      <c r="W128" s="568"/>
      <c r="X128" s="568"/>
      <c r="Y128" s="568"/>
      <c r="Z128" s="568"/>
      <c r="AA128" s="568"/>
    </row>
    <row r="129" spans="1:27" s="573" customFormat="1" ht="30.75" customHeight="1" x14ac:dyDescent="0.25">
      <c r="A129" s="587">
        <v>73</v>
      </c>
      <c r="B129" s="588" t="s">
        <v>29</v>
      </c>
      <c r="C129" s="587">
        <v>1</v>
      </c>
      <c r="D129" s="587" t="s">
        <v>123</v>
      </c>
      <c r="E129" s="587">
        <f>$U$13</f>
        <v>1.54</v>
      </c>
      <c r="F129" s="589">
        <v>58.33</v>
      </c>
      <c r="G129" s="590">
        <f>ROUND(F129*$Y$5,2)</f>
        <v>9609.8700000000008</v>
      </c>
      <c r="H129" s="590">
        <f>C129*G129</f>
        <v>9609.8700000000008</v>
      </c>
      <c r="I129" s="594">
        <v>0.12</v>
      </c>
      <c r="J129" s="590">
        <f t="shared" si="73"/>
        <v>1153.18</v>
      </c>
      <c r="K129" s="590"/>
      <c r="L129" s="590"/>
      <c r="M129" s="590"/>
      <c r="N129" s="590">
        <f t="shared" si="78"/>
        <v>10763.050000000001</v>
      </c>
      <c r="O129" s="590">
        <f t="shared" si="77"/>
        <v>53815.250000000007</v>
      </c>
      <c r="P129" s="601"/>
      <c r="Q129" s="568"/>
      <c r="R129" s="568"/>
      <c r="S129" s="568"/>
      <c r="T129" s="568"/>
      <c r="U129" s="568"/>
      <c r="V129" s="568"/>
      <c r="W129" s="568"/>
      <c r="X129" s="568"/>
      <c r="Y129" s="568"/>
      <c r="Z129" s="568"/>
      <c r="AA129" s="568"/>
    </row>
    <row r="130" spans="1:27" s="573" customFormat="1" ht="30.75" customHeight="1" x14ac:dyDescent="0.25">
      <c r="A130" s="618" t="s">
        <v>59</v>
      </c>
      <c r="B130" s="618"/>
      <c r="C130" s="618"/>
      <c r="D130" s="618"/>
      <c r="E130" s="618"/>
      <c r="F130" s="618"/>
      <c r="G130" s="618"/>
      <c r="H130" s="618"/>
      <c r="I130" s="618"/>
      <c r="J130" s="618"/>
      <c r="K130" s="618"/>
      <c r="L130" s="618"/>
      <c r="M130" s="618"/>
      <c r="N130" s="618"/>
      <c r="O130" s="618"/>
      <c r="P130" s="601"/>
      <c r="Q130" s="568"/>
      <c r="R130" s="568"/>
      <c r="S130" s="568"/>
      <c r="T130" s="568"/>
      <c r="U130" s="568"/>
      <c r="V130" s="568"/>
      <c r="W130" s="568"/>
      <c r="X130" s="568"/>
      <c r="Y130" s="568"/>
      <c r="Z130" s="568"/>
      <c r="AA130" s="568"/>
    </row>
    <row r="131" spans="1:27" s="573" customFormat="1" ht="30.75" customHeight="1" x14ac:dyDescent="0.25">
      <c r="A131" s="587">
        <v>74</v>
      </c>
      <c r="B131" s="588" t="s">
        <v>57</v>
      </c>
      <c r="C131" s="587">
        <v>6</v>
      </c>
      <c r="D131" s="587" t="s">
        <v>138</v>
      </c>
      <c r="E131" s="589">
        <f>$R$13</f>
        <v>1.08</v>
      </c>
      <c r="F131" s="589">
        <v>40.909999999999997</v>
      </c>
      <c r="G131" s="590">
        <f>ROUND(F131*$Y$5,2)</f>
        <v>6739.92</v>
      </c>
      <c r="H131" s="590">
        <f t="shared" ref="H131:H138" si="79">C131*G131</f>
        <v>40439.520000000004</v>
      </c>
      <c r="I131" s="594">
        <v>0.08</v>
      </c>
      <c r="J131" s="590">
        <f t="shared" ref="J131:J135" si="80">ROUND(H131*I131,2)</f>
        <v>3235.16</v>
      </c>
      <c r="K131" s="590"/>
      <c r="L131" s="590">
        <f t="shared" ref="L131:L133" si="81">ROUND(((F131*53.23)*35%)*C131,2)</f>
        <v>4573.04</v>
      </c>
      <c r="M131" s="590">
        <f t="shared" ref="M131:M138" si="82">ROUND((F131*5.5)*C131,2)</f>
        <v>1350.03</v>
      </c>
      <c r="N131" s="590">
        <f t="shared" ref="N131:N133" si="83">H131+J131+K131+L131+M131</f>
        <v>49597.750000000007</v>
      </c>
      <c r="O131" s="590">
        <f t="shared" si="77"/>
        <v>247988.75000000003</v>
      </c>
      <c r="P131" s="601">
        <f>O131/C131</f>
        <v>41331.458333333336</v>
      </c>
      <c r="Q131" s="604">
        <f>ROUND(P131*8.41%,2)</f>
        <v>3475.98</v>
      </c>
      <c r="R131" s="568" t="s">
        <v>373</v>
      </c>
      <c r="S131" s="568" t="s">
        <v>371</v>
      </c>
      <c r="T131" s="568"/>
      <c r="U131" s="568"/>
      <c r="V131" s="568"/>
      <c r="W131" s="568"/>
      <c r="X131" s="568"/>
      <c r="Y131" s="568"/>
      <c r="Z131" s="568"/>
      <c r="AA131" s="568"/>
    </row>
    <row r="132" spans="1:27" s="573" customFormat="1" ht="42.75" customHeight="1" x14ac:dyDescent="0.25">
      <c r="A132" s="587">
        <v>75</v>
      </c>
      <c r="B132" s="588" t="s">
        <v>60</v>
      </c>
      <c r="C132" s="587">
        <v>4</v>
      </c>
      <c r="D132" s="587" t="s">
        <v>138</v>
      </c>
      <c r="E132" s="589">
        <f>$R$13</f>
        <v>1.08</v>
      </c>
      <c r="F132" s="589">
        <v>40.909999999999997</v>
      </c>
      <c r="G132" s="590">
        <f>ROUND(F132*$Y$5,2)</f>
        <v>6739.92</v>
      </c>
      <c r="H132" s="590">
        <f t="shared" si="79"/>
        <v>26959.68</v>
      </c>
      <c r="I132" s="594">
        <v>0.08</v>
      </c>
      <c r="J132" s="590">
        <f t="shared" si="80"/>
        <v>2156.77</v>
      </c>
      <c r="K132" s="590"/>
      <c r="L132" s="590">
        <f t="shared" si="81"/>
        <v>3048.7</v>
      </c>
      <c r="M132" s="590">
        <f t="shared" si="82"/>
        <v>900.02</v>
      </c>
      <c r="N132" s="590">
        <f t="shared" si="83"/>
        <v>33065.17</v>
      </c>
      <c r="O132" s="590">
        <f t="shared" si="77"/>
        <v>165325.84999999998</v>
      </c>
      <c r="P132" s="601"/>
      <c r="Q132" s="568"/>
      <c r="R132" s="568"/>
      <c r="S132" s="568"/>
      <c r="T132" s="568"/>
      <c r="U132" s="568"/>
      <c r="V132" s="568"/>
      <c r="W132" s="568"/>
      <c r="X132" s="568"/>
      <c r="Y132" s="568"/>
      <c r="Z132" s="568"/>
      <c r="AA132" s="568"/>
    </row>
    <row r="133" spans="1:27" s="573" customFormat="1" ht="40.5" customHeight="1" x14ac:dyDescent="0.25">
      <c r="A133" s="587">
        <v>76</v>
      </c>
      <c r="B133" s="588" t="s">
        <v>61</v>
      </c>
      <c r="C133" s="587">
        <v>2</v>
      </c>
      <c r="D133" s="587" t="s">
        <v>138</v>
      </c>
      <c r="E133" s="589">
        <f>$R$13</f>
        <v>1.08</v>
      </c>
      <c r="F133" s="589">
        <v>40.909999999999997</v>
      </c>
      <c r="G133" s="590">
        <f>ROUND(F133*$Y$5,2)</f>
        <v>6739.92</v>
      </c>
      <c r="H133" s="590">
        <f t="shared" si="79"/>
        <v>13479.84</v>
      </c>
      <c r="I133" s="594">
        <v>0.08</v>
      </c>
      <c r="J133" s="590">
        <f t="shared" si="80"/>
        <v>1078.3900000000001</v>
      </c>
      <c r="K133" s="590"/>
      <c r="L133" s="590">
        <f t="shared" si="81"/>
        <v>1524.35</v>
      </c>
      <c r="M133" s="590">
        <f t="shared" si="82"/>
        <v>450.01</v>
      </c>
      <c r="N133" s="590">
        <f t="shared" si="83"/>
        <v>16532.59</v>
      </c>
      <c r="O133" s="590">
        <f t="shared" si="77"/>
        <v>82662.95</v>
      </c>
      <c r="P133" s="601"/>
      <c r="Q133" s="568"/>
      <c r="R133" s="568"/>
      <c r="S133" s="568"/>
      <c r="T133" s="568"/>
      <c r="U133" s="568"/>
      <c r="V133" s="568"/>
      <c r="W133" s="568"/>
      <c r="X133" s="568"/>
      <c r="Y133" s="568"/>
      <c r="Z133" s="568"/>
      <c r="AA133" s="568"/>
    </row>
    <row r="134" spans="1:27" s="573" customFormat="1" ht="39" customHeight="1" x14ac:dyDescent="0.25">
      <c r="A134" s="587">
        <v>77</v>
      </c>
      <c r="B134" s="588" t="s">
        <v>62</v>
      </c>
      <c r="C134" s="587">
        <v>1</v>
      </c>
      <c r="D134" s="587" t="s">
        <v>138</v>
      </c>
      <c r="E134" s="589">
        <f>$R$13</f>
        <v>1.08</v>
      </c>
      <c r="F134" s="589">
        <v>40.909999999999997</v>
      </c>
      <c r="G134" s="590">
        <f>ROUND(F134*$Y$5,2)</f>
        <v>6739.92</v>
      </c>
      <c r="H134" s="590">
        <f t="shared" si="79"/>
        <v>6739.92</v>
      </c>
      <c r="I134" s="594">
        <v>0.08</v>
      </c>
      <c r="J134" s="590">
        <f t="shared" si="80"/>
        <v>539.19000000000005</v>
      </c>
      <c r="K134" s="590"/>
      <c r="L134" s="590"/>
      <c r="M134" s="590">
        <f t="shared" si="82"/>
        <v>225.01</v>
      </c>
      <c r="N134" s="590">
        <f t="shared" ref="N134:N136" si="84">H134+J134+K134+L134+M134</f>
        <v>7504.1200000000008</v>
      </c>
      <c r="O134" s="590">
        <f t="shared" si="77"/>
        <v>37520.600000000006</v>
      </c>
      <c r="P134" s="601"/>
      <c r="Q134" s="568"/>
      <c r="R134" s="568"/>
      <c r="S134" s="568"/>
      <c r="T134" s="568"/>
      <c r="U134" s="568"/>
      <c r="V134" s="568"/>
      <c r="W134" s="568"/>
      <c r="X134" s="568"/>
      <c r="Y134" s="568"/>
      <c r="Z134" s="568"/>
      <c r="AA134" s="568"/>
    </row>
    <row r="135" spans="1:27" s="573" customFormat="1" ht="41.25" customHeight="1" x14ac:dyDescent="0.25">
      <c r="A135" s="587">
        <v>78</v>
      </c>
      <c r="B135" s="588" t="s">
        <v>148</v>
      </c>
      <c r="C135" s="587">
        <v>4</v>
      </c>
      <c r="D135" s="587" t="s">
        <v>70</v>
      </c>
      <c r="E135" s="587">
        <f>$S$13</f>
        <v>1.2</v>
      </c>
      <c r="F135" s="589">
        <v>45.45</v>
      </c>
      <c r="G135" s="590">
        <f>ROUND(F135*$Y$5,2)</f>
        <v>7487.89</v>
      </c>
      <c r="H135" s="590">
        <f t="shared" si="79"/>
        <v>29951.56</v>
      </c>
      <c r="I135" s="594">
        <v>0.04</v>
      </c>
      <c r="J135" s="590">
        <f t="shared" si="80"/>
        <v>1198.06</v>
      </c>
      <c r="K135" s="590"/>
      <c r="L135" s="590"/>
      <c r="M135" s="590">
        <f t="shared" si="82"/>
        <v>999.9</v>
      </c>
      <c r="N135" s="590">
        <f t="shared" si="84"/>
        <v>32149.520000000004</v>
      </c>
      <c r="O135" s="590">
        <f t="shared" si="77"/>
        <v>160747.60000000003</v>
      </c>
      <c r="P135" s="601"/>
      <c r="Q135" s="568"/>
      <c r="R135" s="568"/>
      <c r="S135" s="568"/>
      <c r="T135" s="568"/>
      <c r="U135" s="568"/>
      <c r="V135" s="568"/>
      <c r="W135" s="568"/>
      <c r="X135" s="568"/>
      <c r="Y135" s="568"/>
      <c r="Z135" s="568"/>
      <c r="AA135" s="568"/>
    </row>
    <row r="136" spans="1:27" s="573" customFormat="1" ht="30.75" customHeight="1" x14ac:dyDescent="0.25">
      <c r="A136" s="587">
        <v>79</v>
      </c>
      <c r="B136" s="588" t="s">
        <v>25</v>
      </c>
      <c r="C136" s="587">
        <v>1</v>
      </c>
      <c r="D136" s="587" t="s">
        <v>70</v>
      </c>
      <c r="E136" s="587">
        <f>$S$13</f>
        <v>1.2</v>
      </c>
      <c r="F136" s="589">
        <v>45.45</v>
      </c>
      <c r="G136" s="590">
        <f>ROUND(F136*$Y$5,2)</f>
        <v>7487.89</v>
      </c>
      <c r="H136" s="590">
        <f t="shared" si="79"/>
        <v>7487.89</v>
      </c>
      <c r="I136" s="594">
        <v>0.04</v>
      </c>
      <c r="J136" s="590">
        <f t="shared" ref="J136:J138" si="85">ROUND(H136*I136,2)</f>
        <v>299.52</v>
      </c>
      <c r="K136" s="590"/>
      <c r="L136" s="590"/>
      <c r="M136" s="590">
        <f t="shared" si="82"/>
        <v>249.98</v>
      </c>
      <c r="N136" s="590">
        <f t="shared" si="84"/>
        <v>8037.3899999999994</v>
      </c>
      <c r="O136" s="590">
        <f t="shared" si="77"/>
        <v>40186.949999999997</v>
      </c>
      <c r="P136" s="601"/>
      <c r="Q136" s="568"/>
      <c r="R136" s="568"/>
      <c r="S136" s="568"/>
      <c r="T136" s="568"/>
      <c r="U136" s="568"/>
      <c r="V136" s="568"/>
      <c r="W136" s="568"/>
      <c r="X136" s="568"/>
      <c r="Y136" s="568"/>
      <c r="Z136" s="568"/>
      <c r="AA136" s="568"/>
    </row>
    <row r="137" spans="1:27" s="573" customFormat="1" ht="30.75" customHeight="1" x14ac:dyDescent="0.25">
      <c r="A137" s="587">
        <v>80</v>
      </c>
      <c r="B137" s="588" t="s">
        <v>20</v>
      </c>
      <c r="C137" s="587">
        <v>5</v>
      </c>
      <c r="D137" s="587" t="s">
        <v>70</v>
      </c>
      <c r="E137" s="587">
        <f>$S$13</f>
        <v>1.2</v>
      </c>
      <c r="F137" s="589">
        <v>45.45</v>
      </c>
      <c r="G137" s="590">
        <f>ROUND(F137*$Y$5,2)</f>
        <v>7487.89</v>
      </c>
      <c r="H137" s="590">
        <f t="shared" si="79"/>
        <v>37439.450000000004</v>
      </c>
      <c r="I137" s="594">
        <v>0.04</v>
      </c>
      <c r="J137" s="590">
        <f t="shared" si="85"/>
        <v>1497.58</v>
      </c>
      <c r="K137" s="590"/>
      <c r="L137" s="590">
        <f t="shared" ref="L137" si="86">ROUND(((F137*53.23)*35%)*C137,2)</f>
        <v>4233.78</v>
      </c>
      <c r="M137" s="590">
        <f t="shared" si="82"/>
        <v>1249.8800000000001</v>
      </c>
      <c r="N137" s="590">
        <f t="shared" ref="N137:N138" si="87">H137+J137+K137+L137+M137</f>
        <v>44420.69</v>
      </c>
      <c r="O137" s="590">
        <f t="shared" ref="O137" si="88">N137*$O$13</f>
        <v>222103.45</v>
      </c>
      <c r="P137" s="601"/>
      <c r="Q137" s="568"/>
      <c r="R137" s="568"/>
      <c r="S137" s="568"/>
      <c r="T137" s="568"/>
      <c r="U137" s="568"/>
      <c r="V137" s="568"/>
      <c r="W137" s="568"/>
      <c r="X137" s="568"/>
      <c r="Y137" s="568"/>
      <c r="Z137" s="568"/>
      <c r="AA137" s="568"/>
    </row>
    <row r="138" spans="1:27" s="573" customFormat="1" ht="30.75" customHeight="1" x14ac:dyDescent="0.25">
      <c r="A138" s="587">
        <v>81</v>
      </c>
      <c r="B138" s="588" t="s">
        <v>26</v>
      </c>
      <c r="C138" s="587">
        <v>2</v>
      </c>
      <c r="D138" s="587" t="s">
        <v>348</v>
      </c>
      <c r="E138" s="587">
        <f>$T$13</f>
        <v>1.35</v>
      </c>
      <c r="F138" s="589">
        <v>51.14</v>
      </c>
      <c r="G138" s="590">
        <f>ROUND(F138*$Y$5,2)</f>
        <v>8425.32</v>
      </c>
      <c r="H138" s="590">
        <f t="shared" si="79"/>
        <v>16850.64</v>
      </c>
      <c r="I138" s="594">
        <v>0.08</v>
      </c>
      <c r="J138" s="590">
        <f t="shared" si="85"/>
        <v>1348.05</v>
      </c>
      <c r="K138" s="590"/>
      <c r="L138" s="590"/>
      <c r="M138" s="590">
        <f t="shared" si="82"/>
        <v>562.54</v>
      </c>
      <c r="N138" s="590">
        <f t="shared" si="87"/>
        <v>18761.23</v>
      </c>
      <c r="O138" s="590">
        <f t="shared" si="77"/>
        <v>93806.15</v>
      </c>
      <c r="P138" s="601"/>
      <c r="Q138" s="568"/>
      <c r="R138" s="568"/>
      <c r="S138" s="568"/>
      <c r="T138" s="568"/>
      <c r="U138" s="568"/>
      <c r="V138" s="568"/>
      <c r="W138" s="568"/>
      <c r="X138" s="568"/>
      <c r="Y138" s="568"/>
      <c r="Z138" s="568"/>
      <c r="AA138" s="568"/>
    </row>
    <row r="139" spans="1:27" s="573" customFormat="1" ht="30.75" customHeight="1" x14ac:dyDescent="0.25">
      <c r="A139" s="618" t="s">
        <v>63</v>
      </c>
      <c r="B139" s="618"/>
      <c r="C139" s="618"/>
      <c r="D139" s="618"/>
      <c r="E139" s="618"/>
      <c r="F139" s="618"/>
      <c r="G139" s="618"/>
      <c r="H139" s="618"/>
      <c r="I139" s="618"/>
      <c r="J139" s="618"/>
      <c r="K139" s="618"/>
      <c r="L139" s="618"/>
      <c r="M139" s="618"/>
      <c r="N139" s="618"/>
      <c r="O139" s="618"/>
      <c r="P139" s="601"/>
      <c r="Q139" s="568"/>
      <c r="R139" s="568"/>
      <c r="S139" s="568"/>
      <c r="T139" s="568"/>
      <c r="U139" s="568"/>
      <c r="V139" s="568"/>
      <c r="W139" s="568"/>
      <c r="X139" s="568"/>
      <c r="Y139" s="568"/>
      <c r="Z139" s="568"/>
      <c r="AA139" s="568"/>
    </row>
    <row r="140" spans="1:27" s="573" customFormat="1" ht="38.25" customHeight="1" x14ac:dyDescent="0.25">
      <c r="A140" s="587">
        <v>82</v>
      </c>
      <c r="B140" s="588" t="s">
        <v>32</v>
      </c>
      <c r="C140" s="587">
        <v>1</v>
      </c>
      <c r="D140" s="587">
        <v>1.3</v>
      </c>
      <c r="E140" s="587"/>
      <c r="F140" s="587"/>
      <c r="G140" s="590">
        <f>ROUND($Y$2*$Z$3*D140*$Y$4,0)</f>
        <v>7134</v>
      </c>
      <c r="H140" s="590">
        <f>C140*G140</f>
        <v>7134</v>
      </c>
      <c r="I140" s="594">
        <v>0.04</v>
      </c>
      <c r="J140" s="590">
        <f t="shared" ref="J140" si="89">ROUND(H140*I140,2)</f>
        <v>285.36</v>
      </c>
      <c r="K140" s="590"/>
      <c r="L140" s="590"/>
      <c r="M140" s="590"/>
      <c r="N140" s="590">
        <f t="shared" ref="N140" si="90">H140+J140+K140+L140+M140</f>
        <v>7419.36</v>
      </c>
      <c r="O140" s="590">
        <f t="shared" si="77"/>
        <v>37096.799999999996</v>
      </c>
      <c r="P140" s="601"/>
      <c r="Q140" s="568"/>
      <c r="R140" s="568"/>
      <c r="S140" s="568"/>
      <c r="T140" s="568"/>
      <c r="U140" s="568"/>
      <c r="V140" s="568"/>
      <c r="W140" s="568"/>
      <c r="X140" s="568"/>
      <c r="Y140" s="568"/>
      <c r="Z140" s="568"/>
      <c r="AA140" s="568"/>
    </row>
    <row r="141" spans="1:27" s="573" customFormat="1" ht="30.75" customHeight="1" x14ac:dyDescent="0.25">
      <c r="A141" s="618" t="s">
        <v>342</v>
      </c>
      <c r="B141" s="618"/>
      <c r="C141" s="618"/>
      <c r="D141" s="618"/>
      <c r="E141" s="618"/>
      <c r="F141" s="618"/>
      <c r="G141" s="618"/>
      <c r="H141" s="618"/>
      <c r="I141" s="618"/>
      <c r="J141" s="618"/>
      <c r="K141" s="618"/>
      <c r="L141" s="618"/>
      <c r="M141" s="618"/>
      <c r="N141" s="618"/>
      <c r="O141" s="618"/>
      <c r="P141" s="601"/>
      <c r="Q141" s="568"/>
      <c r="R141" s="568"/>
      <c r="S141" s="568"/>
      <c r="T141" s="568"/>
      <c r="U141" s="568"/>
      <c r="V141" s="568"/>
      <c r="W141" s="568"/>
      <c r="X141" s="568"/>
      <c r="Y141" s="568"/>
      <c r="Z141" s="568"/>
      <c r="AA141" s="568"/>
    </row>
    <row r="142" spans="1:27" s="573" customFormat="1" ht="30.75" customHeight="1" x14ac:dyDescent="0.25">
      <c r="A142" s="587">
        <v>83</v>
      </c>
      <c r="B142" s="588" t="s">
        <v>113</v>
      </c>
      <c r="C142" s="587">
        <v>2</v>
      </c>
      <c r="D142" s="595">
        <v>2.1</v>
      </c>
      <c r="E142" s="587"/>
      <c r="F142" s="587"/>
      <c r="G142" s="590">
        <f>ROUND($Y$2*$Y$3*D142*$Y$4,0)</f>
        <v>11525</v>
      </c>
      <c r="H142" s="590">
        <f>C142*G142</f>
        <v>23050</v>
      </c>
      <c r="I142" s="590"/>
      <c r="J142" s="590"/>
      <c r="K142" s="590"/>
      <c r="L142" s="590"/>
      <c r="M142" s="590">
        <f>ROUND(((G142/$Y$5)*5.5)*C142,2)</f>
        <v>769.5</v>
      </c>
      <c r="N142" s="590">
        <f t="shared" ref="N142:N143" si="91">H142+J142+K142+L142+M142</f>
        <v>23819.5</v>
      </c>
      <c r="O142" s="590">
        <f t="shared" si="77"/>
        <v>119097.5</v>
      </c>
      <c r="P142" s="601"/>
      <c r="Q142" s="568"/>
      <c r="R142" s="568"/>
      <c r="S142" s="568"/>
      <c r="T142" s="568"/>
      <c r="U142" s="568"/>
      <c r="V142" s="568"/>
      <c r="W142" s="568"/>
      <c r="X142" s="568"/>
      <c r="Y142" s="568"/>
      <c r="Z142" s="568"/>
      <c r="AA142" s="568"/>
    </row>
    <row r="143" spans="1:27" s="573" customFormat="1" ht="39" customHeight="1" x14ac:dyDescent="0.25">
      <c r="A143" s="587">
        <v>84</v>
      </c>
      <c r="B143" s="588" t="s">
        <v>27</v>
      </c>
      <c r="C143" s="587">
        <v>6</v>
      </c>
      <c r="D143" s="587" t="s">
        <v>123</v>
      </c>
      <c r="E143" s="587">
        <v>1.54</v>
      </c>
      <c r="F143" s="589">
        <v>65.62</v>
      </c>
      <c r="G143" s="590">
        <f>ROUND(F143*$Y$5,2)</f>
        <v>10810.9</v>
      </c>
      <c r="H143" s="590">
        <f>C143*G143</f>
        <v>64865.399999999994</v>
      </c>
      <c r="I143" s="590"/>
      <c r="J143" s="590"/>
      <c r="K143" s="590"/>
      <c r="L143" s="590"/>
      <c r="M143" s="590">
        <f t="shared" ref="M143" si="92">ROUND((F143*5.5)*C143,2)</f>
        <v>2165.46</v>
      </c>
      <c r="N143" s="590">
        <f t="shared" si="91"/>
        <v>67030.86</v>
      </c>
      <c r="O143" s="590">
        <f t="shared" si="77"/>
        <v>335154.3</v>
      </c>
      <c r="P143" s="603"/>
      <c r="Q143" s="568"/>
      <c r="R143" s="568"/>
      <c r="S143" s="568"/>
      <c r="T143" s="568"/>
      <c r="U143" s="568"/>
      <c r="V143" s="568"/>
      <c r="W143" s="568"/>
      <c r="X143" s="568"/>
      <c r="Y143" s="568"/>
      <c r="Z143" s="568"/>
      <c r="AA143" s="568"/>
    </row>
    <row r="144" spans="1:27" s="573" customFormat="1" ht="38.25" customHeight="1" x14ac:dyDescent="0.25">
      <c r="A144" s="618" t="s">
        <v>343</v>
      </c>
      <c r="B144" s="618"/>
      <c r="C144" s="591">
        <f>C122+C123+C142</f>
        <v>5</v>
      </c>
      <c r="D144" s="591"/>
      <c r="E144" s="591"/>
      <c r="F144" s="591"/>
      <c r="G144" s="592"/>
      <c r="H144" s="592">
        <f>H122+H123+H142</f>
        <v>58173</v>
      </c>
      <c r="I144" s="592"/>
      <c r="J144" s="592"/>
      <c r="K144" s="592"/>
      <c r="L144" s="592"/>
      <c r="M144" s="592">
        <f>M122+M123+M142</f>
        <v>1502.3400000000001</v>
      </c>
      <c r="N144" s="592">
        <f>N122+N123+N142</f>
        <v>59675.34</v>
      </c>
      <c r="O144" s="592">
        <f>O122+O123+O142</f>
        <v>298376.7</v>
      </c>
      <c r="P144" s="601"/>
      <c r="Q144" s="568"/>
      <c r="R144" s="568"/>
      <c r="S144" s="568"/>
      <c r="T144" s="568"/>
      <c r="U144" s="568"/>
      <c r="V144" s="568"/>
      <c r="W144" s="568"/>
      <c r="X144" s="568"/>
      <c r="Y144" s="568"/>
      <c r="Z144" s="568"/>
      <c r="AA144" s="568"/>
    </row>
    <row r="145" spans="1:27" s="573" customFormat="1" ht="40.5" customHeight="1" x14ac:dyDescent="0.25">
      <c r="A145" s="618" t="s">
        <v>344</v>
      </c>
      <c r="B145" s="618"/>
      <c r="C145" s="591">
        <f>SUM(C125:C140)+C143</f>
        <v>41</v>
      </c>
      <c r="D145" s="591"/>
      <c r="E145" s="591"/>
      <c r="F145" s="591"/>
      <c r="G145" s="592"/>
      <c r="H145" s="592">
        <f>SUM(H125:H140)+H143</f>
        <v>328164.26</v>
      </c>
      <c r="I145" s="592"/>
      <c r="J145" s="592">
        <f>SUM(J125:J140)+J143</f>
        <v>15771.66</v>
      </c>
      <c r="K145" s="592"/>
      <c r="L145" s="592">
        <f>SUM(L125:L140)+L143</f>
        <v>17719.650000000001</v>
      </c>
      <c r="M145" s="592">
        <f>SUM(M125:M140)+M143</f>
        <v>10396.450000000001</v>
      </c>
      <c r="N145" s="592">
        <f t="shared" ref="N145:O145" si="93">SUM(N125:N140)+N143</f>
        <v>372052.01999999996</v>
      </c>
      <c r="O145" s="592">
        <f t="shared" si="93"/>
        <v>1860260.0999999999</v>
      </c>
      <c r="P145" s="601"/>
      <c r="Q145" s="568"/>
      <c r="R145" s="568"/>
      <c r="S145" s="568"/>
      <c r="T145" s="568"/>
      <c r="U145" s="568"/>
      <c r="V145" s="568"/>
      <c r="W145" s="568"/>
      <c r="X145" s="568"/>
      <c r="Y145" s="568"/>
      <c r="Z145" s="568"/>
      <c r="AA145" s="568"/>
    </row>
    <row r="146" spans="1:27" s="573" customFormat="1" ht="40.5" customHeight="1" x14ac:dyDescent="0.25">
      <c r="A146" s="618" t="s">
        <v>64</v>
      </c>
      <c r="B146" s="618"/>
      <c r="C146" s="591">
        <f>C144+C145</f>
        <v>46</v>
      </c>
      <c r="D146" s="591"/>
      <c r="E146" s="591"/>
      <c r="F146" s="591"/>
      <c r="G146" s="592"/>
      <c r="H146" s="592">
        <f>H144+H145</f>
        <v>386337.26</v>
      </c>
      <c r="I146" s="592"/>
      <c r="J146" s="592">
        <f t="shared" ref="J146" si="94">J144+J145</f>
        <v>15771.66</v>
      </c>
      <c r="K146" s="592"/>
      <c r="L146" s="592">
        <f t="shared" ref="L146" si="95">L144+L145</f>
        <v>17719.650000000001</v>
      </c>
      <c r="M146" s="592">
        <f>M144+M145</f>
        <v>11898.79</v>
      </c>
      <c r="N146" s="592">
        <f>N144+N145</f>
        <v>431727.35999999999</v>
      </c>
      <c r="O146" s="592">
        <f>O144+O145</f>
        <v>2158636.7999999998</v>
      </c>
      <c r="P146" s="602">
        <f>ROUND((O146-P127-P131)*22%,2)</f>
        <v>454440.46</v>
      </c>
      <c r="Q146" s="568" t="s">
        <v>371</v>
      </c>
      <c r="R146" s="568"/>
      <c r="S146" s="568"/>
      <c r="T146" s="568"/>
      <c r="U146" s="568"/>
      <c r="V146" s="568"/>
      <c r="W146" s="568"/>
      <c r="X146" s="568"/>
      <c r="Y146" s="568"/>
      <c r="Z146" s="568"/>
      <c r="AA146" s="568"/>
    </row>
    <row r="147" spans="1:27" s="573" customFormat="1" ht="30.75" customHeight="1" x14ac:dyDescent="0.25">
      <c r="A147" s="619" t="s">
        <v>66</v>
      </c>
      <c r="B147" s="619"/>
      <c r="C147" s="619"/>
      <c r="D147" s="619"/>
      <c r="E147" s="619"/>
      <c r="F147" s="619"/>
      <c r="G147" s="619"/>
      <c r="H147" s="619"/>
      <c r="I147" s="619"/>
      <c r="J147" s="619"/>
      <c r="K147" s="619"/>
      <c r="L147" s="619"/>
      <c r="M147" s="619"/>
      <c r="N147" s="619"/>
      <c r="O147" s="619"/>
      <c r="P147" s="601"/>
      <c r="Q147" s="568"/>
      <c r="R147" s="568"/>
      <c r="S147" s="568"/>
      <c r="T147" s="568"/>
      <c r="U147" s="568"/>
      <c r="V147" s="568"/>
      <c r="W147" s="568"/>
      <c r="X147" s="568"/>
      <c r="Y147" s="568"/>
      <c r="Z147" s="568"/>
      <c r="AA147" s="568"/>
    </row>
    <row r="148" spans="1:27" s="573" customFormat="1" ht="30.75" customHeight="1" x14ac:dyDescent="0.25">
      <c r="A148" s="587">
        <v>85</v>
      </c>
      <c r="B148" s="588" t="s">
        <v>67</v>
      </c>
      <c r="C148" s="587">
        <v>1</v>
      </c>
      <c r="D148" s="587">
        <v>2.4</v>
      </c>
      <c r="E148" s="587"/>
      <c r="F148" s="587"/>
      <c r="G148" s="590">
        <f>ROUND($Y$2*$Y$3*D148*$Y$4,0)</f>
        <v>13171</v>
      </c>
      <c r="H148" s="590">
        <f>C148*G148</f>
        <v>13171</v>
      </c>
      <c r="I148" s="590"/>
      <c r="J148" s="590"/>
      <c r="K148" s="590"/>
      <c r="L148" s="590"/>
      <c r="M148" s="590"/>
      <c r="N148" s="590">
        <f t="shared" ref="N148:N149" si="96">H148+J148+K148+L148+M148</f>
        <v>13171</v>
      </c>
      <c r="O148" s="590">
        <f t="shared" ref="O148:O149" si="97">N148*$O$13</f>
        <v>65855</v>
      </c>
      <c r="P148" s="601"/>
      <c r="Q148" s="568"/>
      <c r="R148" s="568"/>
      <c r="S148" s="568"/>
      <c r="T148" s="568"/>
      <c r="U148" s="568"/>
      <c r="V148" s="568"/>
      <c r="W148" s="568"/>
      <c r="X148" s="568"/>
      <c r="Y148" s="568"/>
      <c r="Z148" s="568"/>
      <c r="AA148" s="568"/>
    </row>
    <row r="149" spans="1:27" s="573" customFormat="1" ht="30.75" customHeight="1" x14ac:dyDescent="0.25">
      <c r="A149" s="587">
        <v>86</v>
      </c>
      <c r="B149" s="588" t="s">
        <v>113</v>
      </c>
      <c r="C149" s="587">
        <v>2</v>
      </c>
      <c r="D149" s="587">
        <v>2.1</v>
      </c>
      <c r="E149" s="587"/>
      <c r="F149" s="587"/>
      <c r="G149" s="590">
        <f>ROUND($Y$2*$Y$3*D149*$Y$4,0)</f>
        <v>11525</v>
      </c>
      <c r="H149" s="590">
        <f>C149*G149</f>
        <v>23050</v>
      </c>
      <c r="I149" s="590"/>
      <c r="J149" s="590"/>
      <c r="K149" s="590"/>
      <c r="L149" s="590"/>
      <c r="M149" s="590">
        <f>ROUND(((G149/$Y$5)*5.5)*C149,2)</f>
        <v>769.5</v>
      </c>
      <c r="N149" s="590">
        <f t="shared" si="96"/>
        <v>23819.5</v>
      </c>
      <c r="O149" s="590">
        <f t="shared" si="97"/>
        <v>119097.5</v>
      </c>
      <c r="P149" s="601"/>
      <c r="Q149" s="568"/>
      <c r="R149" s="568"/>
      <c r="S149" s="568"/>
      <c r="T149" s="568"/>
      <c r="U149" s="568"/>
      <c r="V149" s="568"/>
      <c r="W149" s="568"/>
      <c r="X149" s="568"/>
      <c r="Y149" s="568"/>
      <c r="Z149" s="568"/>
      <c r="AA149" s="568"/>
    </row>
    <row r="150" spans="1:27" s="573" customFormat="1" ht="36" customHeight="1" x14ac:dyDescent="0.25">
      <c r="A150" s="618" t="s">
        <v>345</v>
      </c>
      <c r="B150" s="618"/>
      <c r="C150" s="599">
        <f>SUM(C148:C149)</f>
        <v>3</v>
      </c>
      <c r="D150" s="596"/>
      <c r="E150" s="596"/>
      <c r="F150" s="596"/>
      <c r="G150" s="592">
        <f>SUM(G148:G149)</f>
        <v>24696</v>
      </c>
      <c r="H150" s="592">
        <f>SUM(H148:H149)</f>
        <v>36221</v>
      </c>
      <c r="I150" s="592"/>
      <c r="J150" s="592"/>
      <c r="K150" s="592"/>
      <c r="L150" s="592"/>
      <c r="M150" s="592">
        <f>SUM(M148:M149)</f>
        <v>769.5</v>
      </c>
      <c r="N150" s="592">
        <f>SUM(N148:N149)</f>
        <v>36990.5</v>
      </c>
      <c r="O150" s="592">
        <f>SUM(O148:O149)</f>
        <v>184952.5</v>
      </c>
      <c r="P150" s="601"/>
      <c r="Q150" s="568"/>
      <c r="R150" s="568"/>
      <c r="S150" s="568"/>
      <c r="T150" s="568"/>
      <c r="U150" s="568"/>
      <c r="V150" s="568"/>
      <c r="W150" s="568"/>
      <c r="X150" s="568"/>
      <c r="Y150" s="568"/>
      <c r="Z150" s="568"/>
      <c r="AA150" s="568"/>
    </row>
    <row r="151" spans="1:27" s="573" customFormat="1" ht="31.5" customHeight="1" x14ac:dyDescent="0.25">
      <c r="A151" s="618" t="s">
        <v>68</v>
      </c>
      <c r="B151" s="618"/>
      <c r="C151" s="618"/>
      <c r="D151" s="618"/>
      <c r="E151" s="618"/>
      <c r="F151" s="618"/>
      <c r="G151" s="618"/>
      <c r="H151" s="618"/>
      <c r="I151" s="618"/>
      <c r="J151" s="618"/>
      <c r="K151" s="618"/>
      <c r="L151" s="618"/>
      <c r="M151" s="618"/>
      <c r="N151" s="618"/>
      <c r="O151" s="618"/>
      <c r="P151" s="601"/>
      <c r="Q151" s="568"/>
      <c r="R151" s="568"/>
      <c r="S151" s="568"/>
      <c r="T151" s="568"/>
      <c r="U151" s="568"/>
      <c r="V151" s="568"/>
      <c r="W151" s="568"/>
      <c r="X151" s="568"/>
      <c r="Y151" s="568"/>
      <c r="Z151" s="568"/>
      <c r="AA151" s="568"/>
    </row>
    <row r="152" spans="1:27" s="573" customFormat="1" ht="40.5" customHeight="1" x14ac:dyDescent="0.25">
      <c r="A152" s="587">
        <v>87</v>
      </c>
      <c r="B152" s="588" t="s">
        <v>27</v>
      </c>
      <c r="C152" s="587">
        <v>7</v>
      </c>
      <c r="D152" s="587" t="s">
        <v>123</v>
      </c>
      <c r="E152" s="587">
        <v>1.54</v>
      </c>
      <c r="F152" s="589">
        <v>65.62</v>
      </c>
      <c r="G152" s="590">
        <f>ROUND(F152*$Y$5,2)</f>
        <v>10810.9</v>
      </c>
      <c r="H152" s="590">
        <f>C152*G152</f>
        <v>75676.3</v>
      </c>
      <c r="I152" s="594">
        <v>0.04</v>
      </c>
      <c r="J152" s="590">
        <f>ROUND(H152*I152,2)</f>
        <v>3027.05</v>
      </c>
      <c r="K152" s="590"/>
      <c r="L152" s="590"/>
      <c r="M152" s="590">
        <f>ROUND((F152*5.5)*C152,2)</f>
        <v>2526.37</v>
      </c>
      <c r="N152" s="590">
        <f>H152+J152+K152+L152+M152</f>
        <v>81229.72</v>
      </c>
      <c r="O152" s="590">
        <f t="shared" ref="O152:O156" si="98">N152*$O$13</f>
        <v>406148.6</v>
      </c>
      <c r="P152" s="601"/>
      <c r="Q152" s="568"/>
      <c r="R152" s="568"/>
      <c r="S152" s="568"/>
      <c r="T152" s="568"/>
      <c r="U152" s="568"/>
      <c r="V152" s="568"/>
      <c r="W152" s="568"/>
      <c r="X152" s="568"/>
      <c r="Y152" s="568"/>
      <c r="Z152" s="568"/>
      <c r="AA152" s="568"/>
    </row>
    <row r="153" spans="1:27" s="573" customFormat="1" ht="40.5" customHeight="1" x14ac:dyDescent="0.25">
      <c r="A153" s="587">
        <v>88</v>
      </c>
      <c r="B153" s="588" t="s">
        <v>27</v>
      </c>
      <c r="C153" s="587">
        <v>2</v>
      </c>
      <c r="D153" s="587" t="s">
        <v>115</v>
      </c>
      <c r="E153" s="587">
        <v>1.35</v>
      </c>
      <c r="F153" s="589">
        <v>57.53</v>
      </c>
      <c r="G153" s="590">
        <f>ROUND(F153*$Y$5,2)</f>
        <v>9478.07</v>
      </c>
      <c r="H153" s="590">
        <f>C153*G153</f>
        <v>18956.14</v>
      </c>
      <c r="I153" s="594">
        <v>0.04</v>
      </c>
      <c r="J153" s="590">
        <f t="shared" ref="J153:J156" si="99">ROUND(H153*I153,2)</f>
        <v>758.25</v>
      </c>
      <c r="K153" s="590"/>
      <c r="L153" s="590"/>
      <c r="M153" s="590">
        <f t="shared" ref="M153:M154" si="100">ROUND((F153*5.5)*C153,2)</f>
        <v>632.83000000000004</v>
      </c>
      <c r="N153" s="590">
        <f t="shared" ref="N153:N156" si="101">H153+J153+K153+L153+M153</f>
        <v>20347.22</v>
      </c>
      <c r="O153" s="590">
        <f t="shared" si="98"/>
        <v>101736.1</v>
      </c>
      <c r="P153" s="603"/>
      <c r="Q153" s="568"/>
      <c r="R153" s="568"/>
      <c r="S153" s="568"/>
      <c r="T153" s="568"/>
      <c r="U153" s="568"/>
      <c r="V153" s="568"/>
      <c r="W153" s="568"/>
      <c r="X153" s="568"/>
      <c r="Y153" s="568"/>
      <c r="Z153" s="568"/>
      <c r="AA153" s="568"/>
    </row>
    <row r="154" spans="1:27" s="573" customFormat="1" ht="40.5" customHeight="1" x14ac:dyDescent="0.25">
      <c r="A154" s="587">
        <v>89</v>
      </c>
      <c r="B154" s="588" t="s">
        <v>27</v>
      </c>
      <c r="C154" s="587">
        <v>1</v>
      </c>
      <c r="D154" s="587" t="s">
        <v>70</v>
      </c>
      <c r="E154" s="587">
        <f>$S$13</f>
        <v>1.2</v>
      </c>
      <c r="F154" s="589">
        <v>51.14</v>
      </c>
      <c r="G154" s="590">
        <f>ROUND(F154*$Y$5,2)</f>
        <v>8425.32</v>
      </c>
      <c r="H154" s="590">
        <f>C154*G154</f>
        <v>8425.32</v>
      </c>
      <c r="I154" s="594">
        <v>0.04</v>
      </c>
      <c r="J154" s="590">
        <f t="shared" si="99"/>
        <v>337.01</v>
      </c>
      <c r="K154" s="590"/>
      <c r="L154" s="590"/>
      <c r="M154" s="590">
        <f t="shared" si="100"/>
        <v>281.27</v>
      </c>
      <c r="N154" s="590">
        <f t="shared" si="101"/>
        <v>9043.6</v>
      </c>
      <c r="O154" s="590">
        <f t="shared" si="98"/>
        <v>45218</v>
      </c>
      <c r="P154" s="603"/>
      <c r="Q154" s="568"/>
      <c r="R154" s="568"/>
      <c r="S154" s="568"/>
      <c r="T154" s="568"/>
      <c r="U154" s="568"/>
      <c r="V154" s="568"/>
      <c r="W154" s="568"/>
      <c r="X154" s="568"/>
      <c r="Y154" s="568"/>
      <c r="Z154" s="568"/>
      <c r="AA154" s="568"/>
    </row>
    <row r="155" spans="1:27" s="573" customFormat="1" ht="30.75" customHeight="1" x14ac:dyDescent="0.25">
      <c r="A155" s="587">
        <v>90</v>
      </c>
      <c r="B155" s="588" t="s">
        <v>29</v>
      </c>
      <c r="C155" s="587">
        <v>2</v>
      </c>
      <c r="D155" s="587" t="s">
        <v>123</v>
      </c>
      <c r="E155" s="587">
        <v>1.54</v>
      </c>
      <c r="F155" s="589">
        <v>65.62</v>
      </c>
      <c r="G155" s="590">
        <f>ROUND(F155*$Y$5,2)</f>
        <v>10810.9</v>
      </c>
      <c r="H155" s="590">
        <f>C155*G155</f>
        <v>21621.8</v>
      </c>
      <c r="I155" s="594">
        <v>0.12</v>
      </c>
      <c r="J155" s="590">
        <f t="shared" si="99"/>
        <v>2594.62</v>
      </c>
      <c r="K155" s="590"/>
      <c r="L155" s="590"/>
      <c r="M155" s="590"/>
      <c r="N155" s="590">
        <f t="shared" si="101"/>
        <v>24216.42</v>
      </c>
      <c r="O155" s="590">
        <f t="shared" si="98"/>
        <v>121082.09999999999</v>
      </c>
      <c r="P155" s="603"/>
      <c r="Q155" s="568"/>
      <c r="R155" s="568"/>
      <c r="S155" s="568"/>
      <c r="T155" s="568"/>
      <c r="U155" s="568"/>
      <c r="V155" s="568"/>
      <c r="W155" s="568"/>
      <c r="X155" s="568"/>
      <c r="Y155" s="568"/>
      <c r="Z155" s="568"/>
      <c r="AA155" s="568"/>
    </row>
    <row r="156" spans="1:27" s="573" customFormat="1" ht="30.75" customHeight="1" x14ac:dyDescent="0.25">
      <c r="A156" s="587">
        <v>91</v>
      </c>
      <c r="B156" s="588" t="s">
        <v>29</v>
      </c>
      <c r="C156" s="587">
        <v>1</v>
      </c>
      <c r="D156" s="587" t="str">
        <f>D154</f>
        <v>ІІІ</v>
      </c>
      <c r="E156" s="587">
        <f>$S$13</f>
        <v>1.2</v>
      </c>
      <c r="F156" s="589">
        <v>51.14</v>
      </c>
      <c r="G156" s="590">
        <f>ROUND(F156*$Y$5,2)</f>
        <v>8425.32</v>
      </c>
      <c r="H156" s="590">
        <f>C156*G156</f>
        <v>8425.32</v>
      </c>
      <c r="I156" s="594">
        <v>0.12</v>
      </c>
      <c r="J156" s="590">
        <f t="shared" si="99"/>
        <v>1011.04</v>
      </c>
      <c r="K156" s="590"/>
      <c r="L156" s="590"/>
      <c r="M156" s="590"/>
      <c r="N156" s="590">
        <f t="shared" si="101"/>
        <v>9436.36</v>
      </c>
      <c r="O156" s="590">
        <f t="shared" si="98"/>
        <v>47181.8</v>
      </c>
      <c r="P156" s="601"/>
      <c r="Q156" s="568"/>
      <c r="R156" s="568"/>
      <c r="S156" s="568"/>
      <c r="T156" s="568"/>
      <c r="U156" s="568"/>
      <c r="V156" s="568"/>
      <c r="W156" s="568"/>
      <c r="X156" s="568"/>
      <c r="Y156" s="568"/>
      <c r="Z156" s="568"/>
      <c r="AA156" s="568"/>
    </row>
    <row r="157" spans="1:27" s="573" customFormat="1" ht="40.5" customHeight="1" x14ac:dyDescent="0.25">
      <c r="A157" s="618" t="s">
        <v>346</v>
      </c>
      <c r="B157" s="618"/>
      <c r="C157" s="600">
        <f>SUM(C152:C156)</f>
        <v>13</v>
      </c>
      <c r="D157" s="596"/>
      <c r="E157" s="596"/>
      <c r="F157" s="596"/>
      <c r="G157" s="592"/>
      <c r="H157" s="592">
        <f>SUM(H152:H156)</f>
        <v>133104.88</v>
      </c>
      <c r="I157" s="592"/>
      <c r="J157" s="592">
        <f>SUM(J152:J156)</f>
        <v>7727.97</v>
      </c>
      <c r="K157" s="592"/>
      <c r="L157" s="592"/>
      <c r="M157" s="592">
        <f>SUM(M152:M156)</f>
        <v>3440.47</v>
      </c>
      <c r="N157" s="592">
        <f>SUM(N152:N156)</f>
        <v>144273.32</v>
      </c>
      <c r="O157" s="592">
        <f>SUM(O152:O156)</f>
        <v>721366.6</v>
      </c>
      <c r="P157" s="601"/>
      <c r="Q157" s="568"/>
      <c r="R157" s="568"/>
      <c r="S157" s="568"/>
      <c r="T157" s="568"/>
      <c r="U157" s="568"/>
      <c r="V157" s="568"/>
      <c r="W157" s="568"/>
      <c r="X157" s="568"/>
      <c r="Y157" s="568"/>
      <c r="Z157" s="568"/>
      <c r="AA157" s="568"/>
    </row>
    <row r="158" spans="1:27" s="573" customFormat="1" ht="38.25" customHeight="1" x14ac:dyDescent="0.25">
      <c r="A158" s="618" t="s">
        <v>152</v>
      </c>
      <c r="B158" s="618"/>
      <c r="C158" s="600">
        <f>C150+C157</f>
        <v>16</v>
      </c>
      <c r="D158" s="599"/>
      <c r="E158" s="599"/>
      <c r="F158" s="599"/>
      <c r="G158" s="592"/>
      <c r="H158" s="592">
        <f>H150+H157</f>
        <v>169325.88</v>
      </c>
      <c r="I158" s="592"/>
      <c r="J158" s="592"/>
      <c r="K158" s="592"/>
      <c r="L158" s="592"/>
      <c r="M158" s="592">
        <f>M150+M157</f>
        <v>4209.9699999999993</v>
      </c>
      <c r="N158" s="592">
        <f>N150+N157</f>
        <v>181263.82</v>
      </c>
      <c r="O158" s="592">
        <f>O150+O157</f>
        <v>906319.1</v>
      </c>
      <c r="P158" s="602">
        <f>ROUND(O158*22%,2)</f>
        <v>199390.2</v>
      </c>
      <c r="Q158" s="568" t="s">
        <v>371</v>
      </c>
      <c r="R158" s="568"/>
      <c r="S158" s="568"/>
      <c r="T158" s="568"/>
      <c r="U158" s="568"/>
      <c r="V158" s="568"/>
      <c r="W158" s="568"/>
      <c r="X158" s="568"/>
      <c r="Y158" s="568"/>
      <c r="Z158" s="568"/>
      <c r="AA158" s="568"/>
    </row>
    <row r="159" spans="1:27" s="573" customFormat="1" ht="30.75" customHeight="1" x14ac:dyDescent="0.25">
      <c r="A159" s="619" t="s">
        <v>71</v>
      </c>
      <c r="B159" s="619"/>
      <c r="C159" s="619"/>
      <c r="D159" s="619"/>
      <c r="E159" s="619"/>
      <c r="F159" s="619"/>
      <c r="G159" s="619"/>
      <c r="H159" s="619"/>
      <c r="I159" s="619"/>
      <c r="J159" s="619"/>
      <c r="K159" s="619"/>
      <c r="L159" s="619"/>
      <c r="M159" s="619"/>
      <c r="N159" s="619"/>
      <c r="O159" s="619"/>
      <c r="P159" s="601"/>
      <c r="Q159" s="568"/>
      <c r="R159" s="568"/>
      <c r="S159" s="568"/>
      <c r="T159" s="568"/>
      <c r="U159" s="568"/>
      <c r="V159" s="568"/>
      <c r="W159" s="568"/>
      <c r="X159" s="568"/>
      <c r="Y159" s="568"/>
      <c r="Z159" s="568"/>
      <c r="AA159" s="568"/>
    </row>
    <row r="160" spans="1:27" s="573" customFormat="1" ht="30.75" customHeight="1" x14ac:dyDescent="0.25">
      <c r="A160" s="587">
        <v>92</v>
      </c>
      <c r="B160" s="588" t="s">
        <v>18</v>
      </c>
      <c r="C160" s="587">
        <v>1</v>
      </c>
      <c r="D160" s="587">
        <v>2.4</v>
      </c>
      <c r="E160" s="587"/>
      <c r="F160" s="587"/>
      <c r="G160" s="590">
        <f>ROUND($Y$2*$Y$3*D160*$Y$4,0)</f>
        <v>13171</v>
      </c>
      <c r="H160" s="590">
        <f>C160*G160</f>
        <v>13171</v>
      </c>
      <c r="I160" s="590"/>
      <c r="J160" s="590"/>
      <c r="K160" s="590"/>
      <c r="L160" s="590"/>
      <c r="M160" s="590"/>
      <c r="N160" s="590">
        <f t="shared" ref="N160:N161" si="102">H160+J160+K160+L160+M160</f>
        <v>13171</v>
      </c>
      <c r="O160" s="590">
        <f t="shared" ref="O160:O161" si="103">N160*$O$13</f>
        <v>65855</v>
      </c>
      <c r="P160" s="601">
        <f>O160</f>
        <v>65855</v>
      </c>
      <c r="Q160" s="568">
        <f>ROUND(P160*8.41%,2)</f>
        <v>5538.41</v>
      </c>
      <c r="R160" s="568" t="s">
        <v>372</v>
      </c>
      <c r="S160" s="568"/>
      <c r="T160" s="568"/>
      <c r="U160" s="568"/>
      <c r="V160" s="568"/>
      <c r="W160" s="568"/>
      <c r="X160" s="568"/>
      <c r="Y160" s="568"/>
      <c r="Z160" s="568"/>
      <c r="AA160" s="568"/>
    </row>
    <row r="161" spans="1:27" s="573" customFormat="1" ht="30.75" customHeight="1" x14ac:dyDescent="0.25">
      <c r="A161" s="587">
        <v>93</v>
      </c>
      <c r="B161" s="588" t="s">
        <v>74</v>
      </c>
      <c r="C161" s="587">
        <v>0.5</v>
      </c>
      <c r="D161" s="587">
        <v>1.6</v>
      </c>
      <c r="E161" s="587"/>
      <c r="F161" s="587"/>
      <c r="G161" s="590">
        <f>ROUND($Y$2*$Y$3*D161*$Y$4,0)</f>
        <v>8781</v>
      </c>
      <c r="H161" s="590">
        <f>C161*G161</f>
        <v>4390.5</v>
      </c>
      <c r="I161" s="590"/>
      <c r="J161" s="590"/>
      <c r="K161" s="590"/>
      <c r="L161" s="590"/>
      <c r="M161" s="590"/>
      <c r="N161" s="590">
        <f t="shared" si="102"/>
        <v>4390.5</v>
      </c>
      <c r="O161" s="590">
        <f t="shared" si="103"/>
        <v>21952.5</v>
      </c>
      <c r="P161" s="601"/>
      <c r="Q161" s="568"/>
      <c r="R161" s="568"/>
      <c r="S161" s="568"/>
      <c r="T161" s="568"/>
      <c r="U161" s="568"/>
      <c r="V161" s="568"/>
      <c r="W161" s="568"/>
      <c r="X161" s="568"/>
      <c r="Y161" s="568"/>
      <c r="Z161" s="568"/>
      <c r="AA161" s="568"/>
    </row>
    <row r="162" spans="1:27" s="573" customFormat="1" ht="30.75" customHeight="1" x14ac:dyDescent="0.25">
      <c r="A162" s="618" t="s">
        <v>347</v>
      </c>
      <c r="B162" s="618"/>
      <c r="C162" s="591">
        <f>SUM(C160:C161)</f>
        <v>1.5</v>
      </c>
      <c r="D162" s="591"/>
      <c r="E162" s="591"/>
      <c r="F162" s="591"/>
      <c r="G162" s="592"/>
      <c r="H162" s="592">
        <f>SUM(H160:H161)</f>
        <v>17561.5</v>
      </c>
      <c r="I162" s="592"/>
      <c r="J162" s="592"/>
      <c r="K162" s="592"/>
      <c r="L162" s="592"/>
      <c r="M162" s="592"/>
      <c r="N162" s="592">
        <f>SUM(N160:N161)</f>
        <v>17561.5</v>
      </c>
      <c r="O162" s="592">
        <f>SUM(O160:O161)</f>
        <v>87807.5</v>
      </c>
      <c r="P162" s="601"/>
      <c r="Q162" s="568"/>
      <c r="R162" s="568"/>
      <c r="S162" s="568"/>
      <c r="T162" s="568"/>
      <c r="U162" s="568"/>
      <c r="V162" s="568"/>
      <c r="W162" s="568"/>
      <c r="X162" s="568"/>
      <c r="Y162" s="568"/>
      <c r="Z162" s="568"/>
      <c r="AA162" s="568"/>
    </row>
    <row r="163" spans="1:27" s="573" customFormat="1" ht="30.75" customHeight="1" x14ac:dyDescent="0.25">
      <c r="A163" s="587">
        <v>94</v>
      </c>
      <c r="B163" s="588" t="s">
        <v>75</v>
      </c>
      <c r="C163" s="587">
        <v>2</v>
      </c>
      <c r="D163" s="587" t="s">
        <v>123</v>
      </c>
      <c r="E163" s="587">
        <f>$U$13</f>
        <v>1.54</v>
      </c>
      <c r="F163" s="589">
        <v>58.33</v>
      </c>
      <c r="G163" s="590">
        <f>ROUND(F163*$Y$5,2)</f>
        <v>9609.8700000000008</v>
      </c>
      <c r="H163" s="590">
        <f t="shared" ref="H163:H170" si="104">C163*G163</f>
        <v>19219.740000000002</v>
      </c>
      <c r="I163" s="594">
        <v>0.04</v>
      </c>
      <c r="J163" s="590">
        <f t="shared" ref="J163:J164" si="105">ROUND(H163*I163,2)</f>
        <v>768.79</v>
      </c>
      <c r="K163" s="590"/>
      <c r="L163" s="590"/>
      <c r="M163" s="590">
        <f t="shared" ref="M163:M168" si="106">ROUND((F163*5.5)*C163,2)</f>
        <v>641.63</v>
      </c>
      <c r="N163" s="590">
        <f t="shared" ref="N163:N170" si="107">H163+J163+K163+L163+M163</f>
        <v>20630.160000000003</v>
      </c>
      <c r="O163" s="590">
        <f t="shared" ref="O163:O170" si="108">N163*$O$13</f>
        <v>103150.80000000002</v>
      </c>
      <c r="P163" s="601"/>
      <c r="Q163" s="604"/>
      <c r="R163" s="568"/>
      <c r="S163" s="568"/>
      <c r="T163" s="568"/>
      <c r="U163" s="568"/>
      <c r="V163" s="568"/>
      <c r="W163" s="568"/>
      <c r="X163" s="568"/>
      <c r="Y163" s="568"/>
      <c r="Z163" s="568"/>
      <c r="AA163" s="568"/>
    </row>
    <row r="164" spans="1:27" s="573" customFormat="1" ht="30.75" customHeight="1" x14ac:dyDescent="0.25">
      <c r="A164" s="587">
        <v>95</v>
      </c>
      <c r="B164" s="588" t="s">
        <v>75</v>
      </c>
      <c r="C164" s="587">
        <v>2</v>
      </c>
      <c r="D164" s="587" t="s">
        <v>139</v>
      </c>
      <c r="E164" s="587">
        <f>$V$13</f>
        <v>1.8</v>
      </c>
      <c r="F164" s="589">
        <v>68.180000000000007</v>
      </c>
      <c r="G164" s="590">
        <f>ROUND(F164*$Y$5,2)</f>
        <v>11232.66</v>
      </c>
      <c r="H164" s="590">
        <f t="shared" si="104"/>
        <v>22465.32</v>
      </c>
      <c r="I164" s="594">
        <v>0.04</v>
      </c>
      <c r="J164" s="590">
        <f t="shared" si="105"/>
        <v>898.61</v>
      </c>
      <c r="K164" s="590"/>
      <c r="L164" s="590"/>
      <c r="M164" s="590">
        <f t="shared" si="106"/>
        <v>749.98</v>
      </c>
      <c r="N164" s="590">
        <f t="shared" si="107"/>
        <v>24113.91</v>
      </c>
      <c r="O164" s="590">
        <f t="shared" si="108"/>
        <v>120569.55</v>
      </c>
      <c r="P164" s="601"/>
      <c r="Q164" s="568"/>
      <c r="R164" s="568"/>
      <c r="S164" s="568"/>
      <c r="T164" s="568"/>
      <c r="U164" s="568"/>
      <c r="V164" s="568"/>
      <c r="W164" s="568"/>
      <c r="X164" s="568"/>
      <c r="Y164" s="568"/>
      <c r="Z164" s="568"/>
      <c r="AA164" s="568"/>
    </row>
    <row r="165" spans="1:27" s="573" customFormat="1" ht="40.5" customHeight="1" x14ac:dyDescent="0.25">
      <c r="A165" s="587">
        <v>96</v>
      </c>
      <c r="B165" s="588" t="s">
        <v>77</v>
      </c>
      <c r="C165" s="587">
        <v>2</v>
      </c>
      <c r="D165" s="587" t="s">
        <v>123</v>
      </c>
      <c r="E165" s="587">
        <f>$U$13</f>
        <v>1.54</v>
      </c>
      <c r="F165" s="589">
        <v>58.33</v>
      </c>
      <c r="G165" s="590">
        <f>ROUND(F165*$Y$5,2)</f>
        <v>9609.8700000000008</v>
      </c>
      <c r="H165" s="590">
        <f t="shared" si="104"/>
        <v>19219.740000000002</v>
      </c>
      <c r="I165" s="594">
        <v>0.08</v>
      </c>
      <c r="J165" s="590">
        <f>ROUND(H165*I165,2)</f>
        <v>1537.58</v>
      </c>
      <c r="K165" s="590"/>
      <c r="L165" s="590"/>
      <c r="M165" s="590"/>
      <c r="N165" s="590">
        <f t="shared" si="107"/>
        <v>20757.32</v>
      </c>
      <c r="O165" s="590">
        <f t="shared" si="108"/>
        <v>103786.6</v>
      </c>
      <c r="P165" s="601"/>
      <c r="Q165" s="568"/>
      <c r="R165" s="568"/>
      <c r="S165" s="568"/>
      <c r="T165" s="568"/>
      <c r="U165" s="568"/>
      <c r="V165" s="568"/>
      <c r="W165" s="568"/>
      <c r="X165" s="568"/>
      <c r="Y165" s="568"/>
      <c r="Z165" s="568"/>
      <c r="AA165" s="568"/>
    </row>
    <row r="166" spans="1:27" s="573" customFormat="1" ht="40.5" customHeight="1" x14ac:dyDescent="0.25">
      <c r="A166" s="587">
        <v>97</v>
      </c>
      <c r="B166" s="588" t="s">
        <v>155</v>
      </c>
      <c r="C166" s="587">
        <v>1</v>
      </c>
      <c r="D166" s="587">
        <f>$S$26</f>
        <v>1.92</v>
      </c>
      <c r="E166" s="587"/>
      <c r="F166" s="589">
        <v>46.03</v>
      </c>
      <c r="G166" s="590">
        <f>ROUND(F166*$Y$5,2)</f>
        <v>7583.44</v>
      </c>
      <c r="H166" s="590">
        <f t="shared" si="104"/>
        <v>7583.44</v>
      </c>
      <c r="I166" s="594">
        <v>0.04</v>
      </c>
      <c r="J166" s="590">
        <f t="shared" ref="J166:J170" si="109">ROUND(H166*I166,2)</f>
        <v>303.33999999999997</v>
      </c>
      <c r="K166" s="590">
        <f>ROUND(H166*25%,2)</f>
        <v>1895.86</v>
      </c>
      <c r="L166" s="590"/>
      <c r="M166" s="590"/>
      <c r="N166" s="590">
        <f t="shared" si="107"/>
        <v>9782.64</v>
      </c>
      <c r="O166" s="590">
        <f t="shared" si="108"/>
        <v>48913.2</v>
      </c>
      <c r="P166" s="601"/>
      <c r="Q166" s="568"/>
      <c r="R166" s="568"/>
      <c r="S166" s="568"/>
      <c r="T166" s="568"/>
      <c r="U166" s="568"/>
      <c r="V166" s="568"/>
      <c r="W166" s="568"/>
      <c r="X166" s="568"/>
      <c r="Y166" s="568"/>
      <c r="Z166" s="568"/>
      <c r="AA166" s="568"/>
    </row>
    <row r="167" spans="1:27" s="573" customFormat="1" ht="40.5" customHeight="1" x14ac:dyDescent="0.25">
      <c r="A167" s="587">
        <v>98</v>
      </c>
      <c r="B167" s="588" t="s">
        <v>156</v>
      </c>
      <c r="C167" s="587">
        <v>6</v>
      </c>
      <c r="D167" s="587">
        <f>$T$26</f>
        <v>2.2200000000000002</v>
      </c>
      <c r="E167" s="587"/>
      <c r="F167" s="589">
        <v>53.22</v>
      </c>
      <c r="G167" s="590">
        <f>ROUND(F167*$Y$5,2)</f>
        <v>8768</v>
      </c>
      <c r="H167" s="590">
        <f t="shared" si="104"/>
        <v>52608</v>
      </c>
      <c r="I167" s="594">
        <v>0.04</v>
      </c>
      <c r="J167" s="590">
        <f t="shared" si="109"/>
        <v>2104.3200000000002</v>
      </c>
      <c r="K167" s="590">
        <f t="shared" ref="K167:K168" si="110">ROUND(H167*25%,2)</f>
        <v>13152</v>
      </c>
      <c r="L167" s="590">
        <f>ROUND(((F167*53.23)*35%)*4,2)</f>
        <v>3966.06</v>
      </c>
      <c r="M167" s="590">
        <f t="shared" si="106"/>
        <v>1756.26</v>
      </c>
      <c r="N167" s="590">
        <f>H167+J167+K167+L167+M167</f>
        <v>73586.64</v>
      </c>
      <c r="O167" s="590">
        <f t="shared" si="108"/>
        <v>367933.2</v>
      </c>
      <c r="P167" s="601"/>
      <c r="Q167" s="568"/>
      <c r="R167" s="568"/>
      <c r="S167" s="568"/>
      <c r="T167" s="568"/>
      <c r="U167" s="568"/>
      <c r="V167" s="568"/>
      <c r="W167" s="568"/>
      <c r="X167" s="568"/>
      <c r="Y167" s="568"/>
      <c r="Z167" s="568"/>
      <c r="AA167" s="568"/>
    </row>
    <row r="168" spans="1:27" s="573" customFormat="1" ht="40.5" customHeight="1" x14ac:dyDescent="0.25">
      <c r="A168" s="587">
        <v>99</v>
      </c>
      <c r="B168" s="588" t="s">
        <v>158</v>
      </c>
      <c r="C168" s="587">
        <v>2</v>
      </c>
      <c r="D168" s="587">
        <f>$V$26</f>
        <v>2.4300000000000002</v>
      </c>
      <c r="E168" s="587"/>
      <c r="F168" s="589">
        <v>58.26</v>
      </c>
      <c r="G168" s="590">
        <f>ROUND(F168*$Y$5,2)</f>
        <v>9598.34</v>
      </c>
      <c r="H168" s="590">
        <f t="shared" si="104"/>
        <v>19196.68</v>
      </c>
      <c r="I168" s="594">
        <v>0.04</v>
      </c>
      <c r="J168" s="590">
        <f t="shared" si="109"/>
        <v>767.87</v>
      </c>
      <c r="K168" s="590">
        <f t="shared" si="110"/>
        <v>4799.17</v>
      </c>
      <c r="L168" s="590">
        <f t="shared" ref="L168" si="111">ROUND(((F168*53.23)*35%)*C168,2)</f>
        <v>2170.83</v>
      </c>
      <c r="M168" s="590">
        <f t="shared" si="106"/>
        <v>640.86</v>
      </c>
      <c r="N168" s="590">
        <f>H168+J168+K168+L168+M168</f>
        <v>27575.410000000003</v>
      </c>
      <c r="O168" s="590">
        <f t="shared" si="108"/>
        <v>137877.05000000002</v>
      </c>
      <c r="P168" s="601"/>
      <c r="Q168" s="568"/>
      <c r="R168" s="568"/>
      <c r="S168" s="568"/>
      <c r="T168" s="568"/>
      <c r="U168" s="568"/>
      <c r="V168" s="568"/>
      <c r="W168" s="568"/>
      <c r="X168" s="568"/>
      <c r="Y168" s="568"/>
      <c r="Z168" s="568"/>
      <c r="AA168" s="568"/>
    </row>
    <row r="169" spans="1:27" s="573" customFormat="1" ht="30.75" customHeight="1" x14ac:dyDescent="0.25">
      <c r="A169" s="587">
        <v>100</v>
      </c>
      <c r="B169" s="588" t="s">
        <v>78</v>
      </c>
      <c r="C169" s="587">
        <v>1</v>
      </c>
      <c r="D169" s="587">
        <v>1.3</v>
      </c>
      <c r="E169" s="587"/>
      <c r="F169" s="587"/>
      <c r="G169" s="590">
        <f>ROUND($Y$2*$Z$3*D169*$Y$4,0)</f>
        <v>7134</v>
      </c>
      <c r="H169" s="590">
        <f t="shared" si="104"/>
        <v>7134</v>
      </c>
      <c r="I169" s="594">
        <v>0.04</v>
      </c>
      <c r="J169" s="590">
        <f t="shared" si="109"/>
        <v>285.36</v>
      </c>
      <c r="K169" s="590"/>
      <c r="L169" s="590"/>
      <c r="M169" s="590"/>
      <c r="N169" s="590">
        <f t="shared" si="107"/>
        <v>7419.36</v>
      </c>
      <c r="O169" s="590">
        <f t="shared" si="108"/>
        <v>37096.799999999996</v>
      </c>
      <c r="P169" s="601"/>
      <c r="Q169" s="604"/>
      <c r="R169" s="568"/>
      <c r="S169" s="568"/>
      <c r="T169" s="568"/>
      <c r="U169" s="568"/>
      <c r="V169" s="568"/>
      <c r="W169" s="568"/>
      <c r="X169" s="568"/>
      <c r="Y169" s="568"/>
      <c r="Z169" s="568"/>
      <c r="AA169" s="568"/>
    </row>
    <row r="170" spans="1:27" s="573" customFormat="1" ht="40.5" customHeight="1" x14ac:dyDescent="0.25">
      <c r="A170" s="587">
        <v>101</v>
      </c>
      <c r="B170" s="588" t="s">
        <v>32</v>
      </c>
      <c r="C170" s="587">
        <v>1</v>
      </c>
      <c r="D170" s="595">
        <v>1.3</v>
      </c>
      <c r="E170" s="587"/>
      <c r="F170" s="587"/>
      <c r="G170" s="590">
        <f>ROUND($Y$2*$Z$3*D170*$Y$4,0)</f>
        <v>7134</v>
      </c>
      <c r="H170" s="590">
        <f t="shared" si="104"/>
        <v>7134</v>
      </c>
      <c r="I170" s="594">
        <v>0.04</v>
      </c>
      <c r="J170" s="590">
        <f t="shared" si="109"/>
        <v>285.36</v>
      </c>
      <c r="K170" s="590"/>
      <c r="L170" s="590"/>
      <c r="M170" s="590"/>
      <c r="N170" s="590">
        <f t="shared" si="107"/>
        <v>7419.36</v>
      </c>
      <c r="O170" s="590">
        <f t="shared" si="108"/>
        <v>37096.799999999996</v>
      </c>
      <c r="P170" s="601"/>
      <c r="Q170" s="568"/>
      <c r="R170" s="568"/>
      <c r="S170" s="568"/>
      <c r="T170" s="568"/>
      <c r="U170" s="568"/>
      <c r="V170" s="568"/>
      <c r="W170" s="568"/>
      <c r="X170" s="568"/>
      <c r="Y170" s="568"/>
      <c r="Z170" s="568"/>
      <c r="AA170" s="568"/>
    </row>
    <row r="171" spans="1:27" s="573" customFormat="1" ht="42.75" customHeight="1" x14ac:dyDescent="0.25">
      <c r="A171" s="618" t="s">
        <v>349</v>
      </c>
      <c r="B171" s="618"/>
      <c r="C171" s="591">
        <f>SUM(C163:C170)</f>
        <v>17</v>
      </c>
      <c r="D171" s="591"/>
      <c r="E171" s="591"/>
      <c r="F171" s="591"/>
      <c r="G171" s="592"/>
      <c r="H171" s="612">
        <f>SUM(H163:H170)</f>
        <v>154560.92000000001</v>
      </c>
      <c r="I171" s="612"/>
      <c r="J171" s="612">
        <f t="shared" ref="J171:L171" si="112">SUM(J163:J170)</f>
        <v>6951.23</v>
      </c>
      <c r="K171" s="612">
        <f t="shared" si="112"/>
        <v>19847.03</v>
      </c>
      <c r="L171" s="612">
        <f t="shared" si="112"/>
        <v>6136.8899999999994</v>
      </c>
      <c r="M171" s="612">
        <f>SUM(M163:M170)</f>
        <v>3788.73</v>
      </c>
      <c r="N171" s="612">
        <f>SUM(N163:N170)</f>
        <v>191284.79999999996</v>
      </c>
      <c r="O171" s="612">
        <f>SUM(O163:O170)</f>
        <v>956424.00000000023</v>
      </c>
      <c r="P171" s="601"/>
      <c r="Q171" s="568"/>
      <c r="R171" s="568"/>
      <c r="S171" s="568"/>
      <c r="T171" s="568"/>
      <c r="U171" s="568"/>
      <c r="V171" s="568"/>
      <c r="W171" s="568"/>
      <c r="X171" s="568"/>
      <c r="Y171" s="568"/>
      <c r="Z171" s="568"/>
      <c r="AA171" s="568"/>
    </row>
    <row r="172" spans="1:27" s="573" customFormat="1" ht="30.75" customHeight="1" x14ac:dyDescent="0.25">
      <c r="A172" s="618" t="s">
        <v>79</v>
      </c>
      <c r="B172" s="618"/>
      <c r="C172" s="591">
        <f>C162+C171</f>
        <v>18.5</v>
      </c>
      <c r="D172" s="591"/>
      <c r="E172" s="591"/>
      <c r="F172" s="591"/>
      <c r="G172" s="592"/>
      <c r="H172" s="612">
        <f>H162+H171</f>
        <v>172122.42</v>
      </c>
      <c r="I172" s="612"/>
      <c r="J172" s="612">
        <f t="shared" ref="J172:M172" si="113">J162+J171</f>
        <v>6951.23</v>
      </c>
      <c r="K172" s="612">
        <f t="shared" si="113"/>
        <v>19847.03</v>
      </c>
      <c r="L172" s="612">
        <f t="shared" si="113"/>
        <v>6136.8899999999994</v>
      </c>
      <c r="M172" s="612">
        <f t="shared" si="113"/>
        <v>3788.73</v>
      </c>
      <c r="N172" s="612">
        <f>N162+N171</f>
        <v>208846.29999999996</v>
      </c>
      <c r="O172" s="612">
        <f>O162+O171</f>
        <v>1044231.5000000002</v>
      </c>
      <c r="P172" s="602">
        <f>ROUND((O172-P160)*22%,2)</f>
        <v>215242.83</v>
      </c>
      <c r="Q172" s="568" t="s">
        <v>371</v>
      </c>
      <c r="R172" s="568"/>
      <c r="S172" s="568"/>
      <c r="T172" s="568"/>
      <c r="U172" s="568"/>
      <c r="V172" s="568"/>
      <c r="W172" s="568"/>
      <c r="X172" s="568"/>
      <c r="Y172" s="568"/>
      <c r="Z172" s="568"/>
      <c r="AA172" s="568"/>
    </row>
    <row r="173" spans="1:27" s="573" customFormat="1" ht="30.75" customHeight="1" x14ac:dyDescent="0.25">
      <c r="A173" s="617" t="s">
        <v>350</v>
      </c>
      <c r="B173" s="617"/>
      <c r="C173" s="598">
        <f>C28+C34+C94+C102+C144+C150+C162</f>
        <v>53</v>
      </c>
      <c r="D173" s="598"/>
      <c r="E173" s="598"/>
      <c r="F173" s="598"/>
      <c r="G173" s="593"/>
      <c r="H173" s="613">
        <f>H28+H34+H94+H102+H144+H150+H162</f>
        <v>586803.5</v>
      </c>
      <c r="I173" s="613"/>
      <c r="J173" s="613"/>
      <c r="K173" s="613"/>
      <c r="L173" s="613">
        <f>L28+L34+L94+L102+L144+L150+L162</f>
        <v>4034.0299999999997</v>
      </c>
      <c r="M173" s="613">
        <f>M28+M34+M94+M102+M144+M150+M162</f>
        <v>4195.58</v>
      </c>
      <c r="N173" s="613">
        <f>N28+N34+N94+N102+N144+N150+N162</f>
        <v>595033.11</v>
      </c>
      <c r="O173" s="613">
        <f>O28+O34+O94+O102+O144+O150+O162</f>
        <v>2975165.5500000003</v>
      </c>
      <c r="P173" s="601"/>
      <c r="Q173" s="568"/>
      <c r="R173" s="568"/>
      <c r="S173" s="568"/>
      <c r="T173" s="568"/>
      <c r="U173" s="568"/>
      <c r="V173" s="568"/>
      <c r="W173" s="568"/>
      <c r="X173" s="568"/>
      <c r="Y173" s="568"/>
      <c r="Z173" s="568"/>
      <c r="AA173" s="568"/>
    </row>
    <row r="174" spans="1:27" s="573" customFormat="1" ht="46.5" customHeight="1" x14ac:dyDescent="0.25">
      <c r="A174" s="617" t="s">
        <v>351</v>
      </c>
      <c r="B174" s="617"/>
      <c r="C174" s="598">
        <f>C40+C95+C119+C145+C157+C171</f>
        <v>150</v>
      </c>
      <c r="D174" s="598"/>
      <c r="E174" s="598"/>
      <c r="F174" s="598"/>
      <c r="G174" s="598"/>
      <c r="H174" s="613">
        <f>H40+H95+H119+H145+H157+H171</f>
        <v>1232221.92</v>
      </c>
      <c r="I174" s="613"/>
      <c r="J174" s="613">
        <f t="shared" ref="J174:O174" si="114">J40+J95+J119+J145+J157+J171</f>
        <v>53830.14</v>
      </c>
      <c r="K174" s="613">
        <f t="shared" si="114"/>
        <v>19847.03</v>
      </c>
      <c r="L174" s="613">
        <f t="shared" si="114"/>
        <v>61227.47</v>
      </c>
      <c r="M174" s="613">
        <f t="shared" si="114"/>
        <v>28658.120000000003</v>
      </c>
      <c r="N174" s="613">
        <f t="shared" si="114"/>
        <v>1395784.6800000002</v>
      </c>
      <c r="O174" s="613">
        <f t="shared" si="114"/>
        <v>6978923.3999999994</v>
      </c>
      <c r="P174" s="601"/>
      <c r="Q174" s="568"/>
      <c r="R174" s="568"/>
      <c r="S174" s="568"/>
      <c r="T174" s="568"/>
      <c r="U174" s="568"/>
      <c r="V174" s="568"/>
      <c r="W174" s="568"/>
      <c r="X174" s="568"/>
      <c r="Y174" s="568"/>
      <c r="Z174" s="568"/>
      <c r="AA174" s="568"/>
    </row>
    <row r="175" spans="1:27" s="573" customFormat="1" ht="30.75" customHeight="1" x14ac:dyDescent="0.25">
      <c r="A175" s="617" t="s">
        <v>366</v>
      </c>
      <c r="B175" s="617"/>
      <c r="C175" s="598">
        <f>C173+C174</f>
        <v>203</v>
      </c>
      <c r="D175" s="597"/>
      <c r="E175" s="597"/>
      <c r="F175" s="597"/>
      <c r="G175" s="586"/>
      <c r="H175" s="613">
        <f>H173+H174</f>
        <v>1819025.42</v>
      </c>
      <c r="I175" s="613"/>
      <c r="J175" s="613">
        <f t="shared" ref="J175:O175" si="115">J173+J174</f>
        <v>53830.14</v>
      </c>
      <c r="K175" s="613">
        <f>K173+K174</f>
        <v>19847.03</v>
      </c>
      <c r="L175" s="613">
        <f>L173+L174</f>
        <v>65261.5</v>
      </c>
      <c r="M175" s="613">
        <f t="shared" ref="M175" si="116">M173+M174</f>
        <v>32853.700000000004</v>
      </c>
      <c r="N175" s="613">
        <f>N173+N174</f>
        <v>1990817.79</v>
      </c>
      <c r="O175" s="613">
        <f t="shared" si="115"/>
        <v>9954088.9499999993</v>
      </c>
      <c r="P175" s="602">
        <f>P28+P41+P96+P120+P146+P158+P172</f>
        <v>2101575.6999999997</v>
      </c>
      <c r="Q175" s="607" t="s">
        <v>371</v>
      </c>
      <c r="R175" s="568"/>
      <c r="S175" s="568"/>
      <c r="T175" s="568"/>
      <c r="U175" s="568"/>
      <c r="V175" s="568"/>
      <c r="W175" s="568"/>
      <c r="X175" s="568"/>
      <c r="Y175" s="568"/>
      <c r="Z175" s="568"/>
      <c r="AA175" s="568"/>
    </row>
    <row r="176" spans="1:27" s="573" customFormat="1" ht="30.75" customHeight="1" x14ac:dyDescent="0.25">
      <c r="A176" s="617" t="s">
        <v>352</v>
      </c>
      <c r="B176" s="617"/>
      <c r="C176" s="597"/>
      <c r="D176" s="593"/>
      <c r="E176" s="593"/>
      <c r="F176" s="593"/>
      <c r="G176" s="586"/>
      <c r="H176" s="613"/>
      <c r="I176" s="613"/>
      <c r="J176" s="613"/>
      <c r="K176" s="613"/>
      <c r="L176" s="613"/>
      <c r="M176" s="613"/>
      <c r="N176" s="613">
        <f>N175</f>
        <v>1990817.79</v>
      </c>
      <c r="O176" s="613">
        <f>O175</f>
        <v>9954088.9499999993</v>
      </c>
      <c r="P176" s="601"/>
      <c r="Q176" s="568"/>
      <c r="R176" s="568"/>
      <c r="S176" s="568"/>
      <c r="T176" s="568"/>
      <c r="U176" s="568"/>
      <c r="V176" s="568"/>
      <c r="W176" s="568"/>
      <c r="X176" s="568"/>
      <c r="Y176" s="568"/>
      <c r="Z176" s="568"/>
      <c r="AA176" s="568"/>
    </row>
    <row r="177" spans="1:15" ht="21" customHeight="1" x14ac:dyDescent="0.25">
      <c r="A177" s="569"/>
      <c r="B177" s="569"/>
      <c r="C177" s="569"/>
      <c r="D177" s="569"/>
      <c r="E177" s="569"/>
      <c r="F177" s="569"/>
      <c r="G177" s="585"/>
      <c r="H177" s="572"/>
      <c r="I177" s="584"/>
      <c r="J177" s="579"/>
      <c r="K177" s="571"/>
      <c r="L177" s="579"/>
      <c r="M177" s="579"/>
      <c r="N177" s="579"/>
      <c r="O177" s="579"/>
    </row>
  </sheetData>
  <mergeCells count="121">
    <mergeCell ref="K6:O6"/>
    <mergeCell ref="K5:O5"/>
    <mergeCell ref="A5:D5"/>
    <mergeCell ref="K4:O4"/>
    <mergeCell ref="A4:D4"/>
    <mergeCell ref="A3:D3"/>
    <mergeCell ref="K2:O3"/>
    <mergeCell ref="A2:D2"/>
    <mergeCell ref="K1:O1"/>
    <mergeCell ref="A1:D1"/>
    <mergeCell ref="A56:B56"/>
    <mergeCell ref="A58:O58"/>
    <mergeCell ref="A65:O65"/>
    <mergeCell ref="A76:O76"/>
    <mergeCell ref="A7:O7"/>
    <mergeCell ref="A8:O8"/>
    <mergeCell ref="A9:O9"/>
    <mergeCell ref="I11:J11"/>
    <mergeCell ref="A11:A12"/>
    <mergeCell ref="B11:B12"/>
    <mergeCell ref="C11:C12"/>
    <mergeCell ref="A87:O87"/>
    <mergeCell ref="A74:B74"/>
    <mergeCell ref="A105:O105"/>
    <mergeCell ref="A108:O108"/>
    <mergeCell ref="A94:B94"/>
    <mergeCell ref="A95:B95"/>
    <mergeCell ref="A96:B96"/>
    <mergeCell ref="A102:B102"/>
    <mergeCell ref="A97:O97"/>
    <mergeCell ref="P21:V21"/>
    <mergeCell ref="L11:M11"/>
    <mergeCell ref="O11:O12"/>
    <mergeCell ref="N11:N12"/>
    <mergeCell ref="A50:B50"/>
    <mergeCell ref="A45:O45"/>
    <mergeCell ref="A139:O139"/>
    <mergeCell ref="A110:O110"/>
    <mergeCell ref="A116:O116"/>
    <mergeCell ref="A121:O121"/>
    <mergeCell ref="A119:B119"/>
    <mergeCell ref="A51:O51"/>
    <mergeCell ref="A54:B54"/>
    <mergeCell ref="A75:B75"/>
    <mergeCell ref="A82:B82"/>
    <mergeCell ref="A89:B89"/>
    <mergeCell ref="A93:B93"/>
    <mergeCell ref="A64:B64"/>
    <mergeCell ref="A57:B57"/>
    <mergeCell ref="A61:B61"/>
    <mergeCell ref="A92:B92"/>
    <mergeCell ref="A83:O83"/>
    <mergeCell ref="A86:B86"/>
    <mergeCell ref="A103:O103"/>
    <mergeCell ref="P19:V19"/>
    <mergeCell ref="U13:U16"/>
    <mergeCell ref="V13:V16"/>
    <mergeCell ref="Q17:V17"/>
    <mergeCell ref="P9:V9"/>
    <mergeCell ref="H11:H12"/>
    <mergeCell ref="D11:D12"/>
    <mergeCell ref="E11:F11"/>
    <mergeCell ref="G11:G12"/>
    <mergeCell ref="P1:AA1"/>
    <mergeCell ref="P2:X2"/>
    <mergeCell ref="P4:X4"/>
    <mergeCell ref="P5:R5"/>
    <mergeCell ref="Q13:Q16"/>
    <mergeCell ref="R13:R16"/>
    <mergeCell ref="S13:S16"/>
    <mergeCell ref="P3:X3"/>
    <mergeCell ref="P10:P12"/>
    <mergeCell ref="Q10:V10"/>
    <mergeCell ref="Q12:V12"/>
    <mergeCell ref="P13:P18"/>
    <mergeCell ref="T13:T16"/>
    <mergeCell ref="Q23:V23"/>
    <mergeCell ref="A67:B67"/>
    <mergeCell ref="A28:B28"/>
    <mergeCell ref="P24:P27"/>
    <mergeCell ref="A13:N13"/>
    <mergeCell ref="P31:Y31"/>
    <mergeCell ref="P32:Y32"/>
    <mergeCell ref="P34:Y34"/>
    <mergeCell ref="P35:Y35"/>
    <mergeCell ref="P33:Y33"/>
    <mergeCell ref="P30:Y30"/>
    <mergeCell ref="A41:B41"/>
    <mergeCell ref="A42:O42"/>
    <mergeCell ref="A63:B63"/>
    <mergeCell ref="A29:O29"/>
    <mergeCell ref="A34:B34"/>
    <mergeCell ref="A40:B40"/>
    <mergeCell ref="Q24:R26"/>
    <mergeCell ref="S24:S25"/>
    <mergeCell ref="T24:T25"/>
    <mergeCell ref="U24:U25"/>
    <mergeCell ref="V24:V25"/>
    <mergeCell ref="Q27:R27"/>
    <mergeCell ref="Q20:V20"/>
    <mergeCell ref="A176:B176"/>
    <mergeCell ref="A162:B162"/>
    <mergeCell ref="A171:B171"/>
    <mergeCell ref="A172:B172"/>
    <mergeCell ref="A173:B173"/>
    <mergeCell ref="A120:B120"/>
    <mergeCell ref="A175:B175"/>
    <mergeCell ref="A144:B144"/>
    <mergeCell ref="A145:B145"/>
    <mergeCell ref="A146:B146"/>
    <mergeCell ref="A150:B150"/>
    <mergeCell ref="A157:B157"/>
    <mergeCell ref="A158:B158"/>
    <mergeCell ref="A174:B174"/>
    <mergeCell ref="A141:O141"/>
    <mergeCell ref="A147:O147"/>
    <mergeCell ref="A151:O151"/>
    <mergeCell ref="A159:O159"/>
    <mergeCell ref="A124:O124"/>
    <mergeCell ref="A126:O126"/>
    <mergeCell ref="A130:O130"/>
  </mergeCells>
  <pageMargins left="1.1811023622047245" right="0.39370078740157483" top="0.78740157480314965" bottom="0.78740157480314965" header="0.19685039370078741" footer="0.31496062992125984"/>
  <pageSetup paperSize="9" scale="37" orientation="portrait" r:id="rId1"/>
  <rowBreaks count="2" manualBreakCount="2">
    <brk id="64" max="26" man="1"/>
    <brk id="125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2"/>
  <sheetViews>
    <sheetView topLeftCell="A185" zoomScale="110" zoomScaleNormal="110" workbookViewId="0">
      <selection activeCell="J192" sqref="J192"/>
    </sheetView>
  </sheetViews>
  <sheetFormatPr defaultColWidth="9.140625" defaultRowHeight="15.75" x14ac:dyDescent="0.25"/>
  <cols>
    <col min="1" max="1" width="3.7109375" style="90" customWidth="1"/>
    <col min="2" max="2" width="19.42578125" style="55" customWidth="1"/>
    <col min="3" max="3" width="5" style="54" customWidth="1"/>
    <col min="4" max="5" width="4.42578125" style="54" customWidth="1"/>
    <col min="6" max="6" width="5.140625" style="54" customWidth="1"/>
    <col min="7" max="7" width="9.5703125" style="54" customWidth="1"/>
    <col min="8" max="8" width="9.42578125" style="54" customWidth="1"/>
    <col min="9" max="9" width="8" style="54" customWidth="1"/>
    <col min="10" max="10" width="9.85546875" style="54" customWidth="1"/>
    <col min="11" max="11" width="10" style="54" customWidth="1"/>
    <col min="12" max="12" width="8.7109375" style="50" customWidth="1"/>
    <col min="13" max="14" width="0" style="50" hidden="1" customWidth="1"/>
    <col min="15" max="15" width="2.42578125" style="50" customWidth="1"/>
    <col min="16" max="16" width="12" style="54" customWidth="1"/>
    <col min="17" max="17" width="8.140625" style="54" customWidth="1"/>
    <col min="18" max="19" width="7.5703125" style="50" customWidth="1"/>
    <col min="20" max="20" width="8" style="50" customWidth="1"/>
    <col min="21" max="21" width="11.85546875" style="54" customWidth="1"/>
    <col min="22" max="22" width="9.28515625" style="236" customWidth="1"/>
    <col min="23" max="24" width="9.140625" style="3"/>
    <col min="25" max="16384" width="9.140625" style="10"/>
  </cols>
  <sheetData>
    <row r="1" spans="1:24" ht="47.25" hidden="1" customHeight="1" x14ac:dyDescent="0.25">
      <c r="A1" s="51" t="s">
        <v>268</v>
      </c>
      <c r="B1" s="52"/>
      <c r="C1" s="137"/>
      <c r="D1" s="137"/>
      <c r="E1" s="137"/>
      <c r="F1" s="137"/>
      <c r="G1" s="137" t="s">
        <v>80</v>
      </c>
      <c r="H1" s="137"/>
      <c r="I1" s="137"/>
      <c r="J1" s="53" t="e">
        <f>ROUND(D1*G1,2)</f>
        <v>#VALUE!</v>
      </c>
      <c r="K1" s="137"/>
      <c r="L1" s="52"/>
      <c r="M1" s="52"/>
      <c r="N1" s="52"/>
      <c r="O1" s="52"/>
      <c r="P1" s="137"/>
      <c r="Q1" s="137"/>
      <c r="R1" s="52"/>
      <c r="S1" s="52"/>
      <c r="T1" s="52"/>
    </row>
    <row r="2" spans="1:24" ht="24" hidden="1" customHeight="1" x14ac:dyDescent="0.25">
      <c r="A2" s="51" t="s">
        <v>269</v>
      </c>
      <c r="B2" s="52"/>
      <c r="C2" s="137"/>
      <c r="D2" s="137"/>
      <c r="E2" s="137"/>
      <c r="F2" s="137"/>
      <c r="G2" s="137"/>
      <c r="H2" s="137"/>
      <c r="I2" s="137"/>
      <c r="J2" s="53">
        <f>ROUND(D2*G2,2)</f>
        <v>0</v>
      </c>
      <c r="K2" s="137"/>
      <c r="L2" s="52"/>
      <c r="M2" s="52"/>
      <c r="N2" s="52"/>
      <c r="O2" s="52"/>
      <c r="P2" s="137"/>
      <c r="Q2" s="137"/>
      <c r="R2" s="52"/>
      <c r="S2" s="52"/>
      <c r="T2" s="52"/>
    </row>
    <row r="3" spans="1:24" ht="25.5" hidden="1" customHeight="1" x14ac:dyDescent="0.25">
      <c r="A3" s="51"/>
      <c r="J3" s="53">
        <f>ROUND(D3*G3,2)</f>
        <v>0</v>
      </c>
    </row>
    <row r="4" spans="1:24" ht="27.75" hidden="1" customHeight="1" x14ac:dyDescent="0.25">
      <c r="A4" s="51"/>
      <c r="J4" s="53">
        <f>ROUND(D4*G4,2)</f>
        <v>0</v>
      </c>
    </row>
    <row r="5" spans="1:24" ht="27.75" hidden="1" customHeight="1" x14ac:dyDescent="0.25">
      <c r="A5" s="51"/>
      <c r="J5" s="53">
        <f>ROUND(D5*G5,2)</f>
        <v>0</v>
      </c>
    </row>
    <row r="6" spans="1:24" ht="15" hidden="1" customHeight="1" x14ac:dyDescent="0.25">
      <c r="A6" s="51"/>
    </row>
    <row r="7" spans="1:24" ht="18" hidden="1" customHeight="1" x14ac:dyDescent="0.25">
      <c r="A7" s="57"/>
    </row>
    <row r="8" spans="1:24" ht="18" customHeight="1" x14ac:dyDescent="0.25">
      <c r="A8" s="138"/>
      <c r="B8" s="58"/>
      <c r="G8" s="633" t="s">
        <v>247</v>
      </c>
      <c r="H8" s="633"/>
      <c r="I8" s="633"/>
      <c r="J8" s="633"/>
      <c r="K8" s="633"/>
      <c r="L8" s="59"/>
      <c r="M8" s="59"/>
      <c r="N8" s="59"/>
      <c r="O8" s="59"/>
      <c r="P8" s="291"/>
      <c r="Q8" s="291"/>
      <c r="R8" s="59"/>
      <c r="S8" s="59"/>
      <c r="T8" s="59"/>
      <c r="U8" s="291"/>
      <c r="V8" s="292"/>
    </row>
    <row r="9" spans="1:24" ht="18" customHeight="1" x14ac:dyDescent="0.25">
      <c r="A9" s="138"/>
      <c r="B9" s="58"/>
      <c r="E9" s="642" t="s">
        <v>248</v>
      </c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291"/>
      <c r="R9" s="59"/>
      <c r="S9" s="59"/>
      <c r="T9" s="59"/>
      <c r="U9" s="291"/>
      <c r="V9" s="292"/>
    </row>
    <row r="10" spans="1:24" ht="18" customHeight="1" thickBot="1" x14ac:dyDescent="0.3">
      <c r="A10" s="138"/>
      <c r="B10" s="58"/>
      <c r="G10" s="633" t="s">
        <v>250</v>
      </c>
      <c r="H10" s="633"/>
      <c r="I10" s="633"/>
      <c r="J10" s="633"/>
      <c r="K10" s="633"/>
      <c r="L10" s="59"/>
      <c r="M10" s="59"/>
      <c r="N10" s="59"/>
      <c r="O10" s="59"/>
      <c r="P10" s="291"/>
      <c r="Q10" s="291"/>
      <c r="R10" s="59"/>
      <c r="S10" s="59"/>
      <c r="T10" s="59"/>
      <c r="U10" s="291"/>
      <c r="V10" s="292"/>
    </row>
    <row r="11" spans="1:24" ht="45" customHeight="1" x14ac:dyDescent="0.25">
      <c r="A11" s="634" t="s">
        <v>81</v>
      </c>
      <c r="B11" s="636" t="s">
        <v>82</v>
      </c>
      <c r="C11" s="638" t="s">
        <v>83</v>
      </c>
      <c r="D11" s="638" t="s">
        <v>84</v>
      </c>
      <c r="E11" s="640" t="s">
        <v>85</v>
      </c>
      <c r="F11" s="641"/>
      <c r="G11" s="638" t="s">
        <v>86</v>
      </c>
      <c r="H11" s="640" t="s">
        <v>87</v>
      </c>
      <c r="I11" s="667" t="s">
        <v>88</v>
      </c>
      <c r="J11" s="660" t="s">
        <v>89</v>
      </c>
      <c r="K11" s="661"/>
      <c r="L11" s="661"/>
      <c r="M11" s="661"/>
      <c r="N11" s="661"/>
      <c r="O11" s="662"/>
      <c r="P11" s="638" t="s">
        <v>90</v>
      </c>
      <c r="Q11" s="638"/>
      <c r="R11" s="638"/>
      <c r="S11" s="669"/>
      <c r="T11" s="658" t="s">
        <v>91</v>
      </c>
      <c r="U11" s="662" t="s">
        <v>92</v>
      </c>
      <c r="V11" s="664" t="s">
        <v>259</v>
      </c>
    </row>
    <row r="12" spans="1:24" ht="59.25" customHeight="1" x14ac:dyDescent="0.25">
      <c r="A12" s="635"/>
      <c r="B12" s="637"/>
      <c r="C12" s="639"/>
      <c r="D12" s="639"/>
      <c r="E12" s="136" t="s">
        <v>94</v>
      </c>
      <c r="F12" s="136" t="s">
        <v>95</v>
      </c>
      <c r="G12" s="639"/>
      <c r="H12" s="666"/>
      <c r="I12" s="668"/>
      <c r="J12" s="135" t="s">
        <v>96</v>
      </c>
      <c r="K12" s="8" t="s">
        <v>164</v>
      </c>
      <c r="L12" s="8" t="s">
        <v>97</v>
      </c>
      <c r="M12" s="8"/>
      <c r="N12" s="8"/>
      <c r="O12" s="8"/>
      <c r="P12" s="135" t="s">
        <v>98</v>
      </c>
      <c r="Q12" s="135" t="s">
        <v>99</v>
      </c>
      <c r="R12" s="8" t="s">
        <v>100</v>
      </c>
      <c r="S12" s="9" t="s">
        <v>165</v>
      </c>
      <c r="T12" s="659"/>
      <c r="U12" s="663"/>
      <c r="V12" s="665"/>
    </row>
    <row r="13" spans="1:24" s="49" customFormat="1" ht="16.5" customHeight="1" thickBot="1" x14ac:dyDescent="0.3">
      <c r="A13" s="293"/>
      <c r="B13" s="655" t="s">
        <v>101</v>
      </c>
      <c r="C13" s="656"/>
      <c r="D13" s="656"/>
      <c r="E13" s="656"/>
      <c r="F13" s="656"/>
      <c r="G13" s="657"/>
      <c r="H13" s="294"/>
      <c r="I13" s="295"/>
      <c r="J13" s="30"/>
      <c r="K13" s="30"/>
      <c r="L13" s="29"/>
      <c r="M13" s="29"/>
      <c r="N13" s="29"/>
      <c r="O13" s="29"/>
      <c r="P13" s="30"/>
      <c r="Q13" s="30"/>
      <c r="R13" s="29"/>
      <c r="S13" s="31"/>
      <c r="T13" s="32"/>
      <c r="U13" s="296"/>
      <c r="V13" s="297"/>
      <c r="W13" s="48"/>
      <c r="X13" s="48"/>
    </row>
    <row r="14" spans="1:24" s="4" customFormat="1" ht="25.5" customHeight="1" x14ac:dyDescent="0.25">
      <c r="A14" s="298">
        <v>1</v>
      </c>
      <c r="B14" s="299" t="s">
        <v>0</v>
      </c>
      <c r="C14" s="300">
        <v>1</v>
      </c>
      <c r="D14" s="300">
        <v>3.8</v>
      </c>
      <c r="E14" s="300"/>
      <c r="F14" s="300"/>
      <c r="G14" s="301">
        <v>21807</v>
      </c>
      <c r="H14" s="302">
        <f>2270*1.8*1.58*D14</f>
        <v>24532.344000000001</v>
      </c>
      <c r="I14" s="303"/>
      <c r="J14" s="304"/>
      <c r="K14" s="301">
        <v>0</v>
      </c>
      <c r="L14" s="305"/>
      <c r="M14" s="305"/>
      <c r="N14" s="305"/>
      <c r="O14" s="305"/>
      <c r="P14" s="300"/>
      <c r="Q14" s="300"/>
      <c r="R14" s="305"/>
      <c r="S14" s="306"/>
      <c r="T14" s="307"/>
      <c r="U14" s="308">
        <f>H14</f>
        <v>24532.344000000001</v>
      </c>
      <c r="V14" s="309">
        <f>U14/166.17</f>
        <v>147.63401335981226</v>
      </c>
      <c r="W14" s="11"/>
      <c r="X14" s="11"/>
    </row>
    <row r="15" spans="1:24" s="4" customFormat="1" x14ac:dyDescent="0.25">
      <c r="A15" s="16">
        <v>2</v>
      </c>
      <c r="B15" s="310" t="s">
        <v>1</v>
      </c>
      <c r="C15" s="60">
        <v>1</v>
      </c>
      <c r="D15" s="60">
        <v>3.4</v>
      </c>
      <c r="E15" s="60"/>
      <c r="F15" s="60"/>
      <c r="G15" s="61">
        <v>19511</v>
      </c>
      <c r="H15" s="311">
        <f t="shared" ref="H15:H28" si="0">2270*1.8*1.58*D15</f>
        <v>21949.991999999998</v>
      </c>
      <c r="I15" s="312"/>
      <c r="J15" s="62"/>
      <c r="K15" s="61">
        <v>0</v>
      </c>
      <c r="L15" s="63"/>
      <c r="M15" s="63"/>
      <c r="N15" s="63"/>
      <c r="O15" s="63"/>
      <c r="P15" s="63"/>
      <c r="Q15" s="63"/>
      <c r="R15" s="63"/>
      <c r="S15" s="313"/>
      <c r="T15" s="314"/>
      <c r="U15" s="315">
        <f t="shared" ref="U15:U28" si="1">H15</f>
        <v>21949.991999999998</v>
      </c>
      <c r="V15" s="316">
        <f t="shared" ref="V15:V28" si="2">U15/166.17</f>
        <v>132.09359090088464</v>
      </c>
      <c r="W15" s="11"/>
      <c r="X15" s="11"/>
    </row>
    <row r="16" spans="1:24" s="4" customFormat="1" x14ac:dyDescent="0.25">
      <c r="A16" s="16">
        <v>3</v>
      </c>
      <c r="B16" s="310" t="s">
        <v>2</v>
      </c>
      <c r="C16" s="60">
        <v>1</v>
      </c>
      <c r="D16" s="60">
        <v>3.2</v>
      </c>
      <c r="E16" s="60"/>
      <c r="F16" s="60"/>
      <c r="G16" s="61">
        <v>18363</v>
      </c>
      <c r="H16" s="311">
        <f t="shared" si="0"/>
        <v>20658.816000000003</v>
      </c>
      <c r="I16" s="312"/>
      <c r="J16" s="62"/>
      <c r="K16" s="61">
        <v>0</v>
      </c>
      <c r="L16" s="63"/>
      <c r="M16" s="63"/>
      <c r="N16" s="63"/>
      <c r="O16" s="63"/>
      <c r="P16" s="63"/>
      <c r="Q16" s="63"/>
      <c r="R16" s="63"/>
      <c r="S16" s="313"/>
      <c r="T16" s="314"/>
      <c r="U16" s="315">
        <f t="shared" si="1"/>
        <v>20658.816000000003</v>
      </c>
      <c r="V16" s="316">
        <f t="shared" si="2"/>
        <v>124.32337967142085</v>
      </c>
      <c r="W16" s="11"/>
      <c r="X16" s="11"/>
    </row>
    <row r="17" spans="1:24" s="4" customFormat="1" ht="23.25" x14ac:dyDescent="0.25">
      <c r="A17" s="16">
        <v>4</v>
      </c>
      <c r="B17" s="310" t="s">
        <v>102</v>
      </c>
      <c r="C17" s="60">
        <v>1</v>
      </c>
      <c r="D17" s="60">
        <v>3.2</v>
      </c>
      <c r="E17" s="60"/>
      <c r="F17" s="60"/>
      <c r="G17" s="61">
        <v>18363</v>
      </c>
      <c r="H17" s="311">
        <f t="shared" si="0"/>
        <v>20658.816000000003</v>
      </c>
      <c r="I17" s="312"/>
      <c r="J17" s="62"/>
      <c r="K17" s="61">
        <v>0</v>
      </c>
      <c r="L17" s="63"/>
      <c r="M17" s="63"/>
      <c r="N17" s="63"/>
      <c r="O17" s="63"/>
      <c r="P17" s="63"/>
      <c r="Q17" s="63"/>
      <c r="R17" s="63"/>
      <c r="S17" s="313"/>
      <c r="T17" s="314"/>
      <c r="U17" s="315">
        <f t="shared" si="1"/>
        <v>20658.816000000003</v>
      </c>
      <c r="V17" s="316">
        <f t="shared" si="2"/>
        <v>124.32337967142085</v>
      </c>
      <c r="W17" s="11"/>
      <c r="X17" s="11"/>
    </row>
    <row r="18" spans="1:24" s="4" customFormat="1" x14ac:dyDescent="0.25">
      <c r="A18" s="16">
        <v>5</v>
      </c>
      <c r="B18" s="310" t="s">
        <v>103</v>
      </c>
      <c r="C18" s="60">
        <v>1</v>
      </c>
      <c r="D18" s="60">
        <v>1.8</v>
      </c>
      <c r="E18" s="60"/>
      <c r="F18" s="60"/>
      <c r="G18" s="61">
        <v>10329</v>
      </c>
      <c r="H18" s="311">
        <f t="shared" si="0"/>
        <v>11620.584000000001</v>
      </c>
      <c r="I18" s="312"/>
      <c r="J18" s="62"/>
      <c r="K18" s="61">
        <v>0</v>
      </c>
      <c r="L18" s="63"/>
      <c r="M18" s="63"/>
      <c r="N18" s="63"/>
      <c r="O18" s="63"/>
      <c r="P18" s="63"/>
      <c r="Q18" s="63"/>
      <c r="R18" s="63"/>
      <c r="S18" s="313"/>
      <c r="T18" s="314"/>
      <c r="U18" s="315">
        <f t="shared" si="1"/>
        <v>11620.584000000001</v>
      </c>
      <c r="V18" s="316">
        <f t="shared" si="2"/>
        <v>69.93190106517423</v>
      </c>
      <c r="W18" s="11"/>
      <c r="X18" s="11"/>
    </row>
    <row r="19" spans="1:24" s="4" customFormat="1" x14ac:dyDescent="0.25">
      <c r="A19" s="16">
        <v>6</v>
      </c>
      <c r="B19" s="310" t="s">
        <v>3</v>
      </c>
      <c r="C19" s="60">
        <v>1</v>
      </c>
      <c r="D19" s="60">
        <v>1.8</v>
      </c>
      <c r="E19" s="60"/>
      <c r="F19" s="60"/>
      <c r="G19" s="61">
        <v>10329</v>
      </c>
      <c r="H19" s="311">
        <f t="shared" si="0"/>
        <v>11620.584000000001</v>
      </c>
      <c r="I19" s="312"/>
      <c r="J19" s="62"/>
      <c r="K19" s="61">
        <v>0</v>
      </c>
      <c r="L19" s="63"/>
      <c r="M19" s="63"/>
      <c r="N19" s="63"/>
      <c r="O19" s="63"/>
      <c r="P19" s="63"/>
      <c r="Q19" s="63"/>
      <c r="R19" s="63"/>
      <c r="S19" s="313"/>
      <c r="T19" s="314"/>
      <c r="U19" s="315">
        <f t="shared" si="1"/>
        <v>11620.584000000001</v>
      </c>
      <c r="V19" s="316">
        <f t="shared" si="2"/>
        <v>69.93190106517423</v>
      </c>
      <c r="W19" s="11"/>
      <c r="X19" s="11"/>
    </row>
    <row r="20" spans="1:24" s="4" customFormat="1" x14ac:dyDescent="0.25">
      <c r="A20" s="16">
        <v>7</v>
      </c>
      <c r="B20" s="310" t="s">
        <v>4</v>
      </c>
      <c r="C20" s="60">
        <v>1</v>
      </c>
      <c r="D20" s="60">
        <v>1.9</v>
      </c>
      <c r="E20" s="60"/>
      <c r="F20" s="60"/>
      <c r="G20" s="61">
        <v>10903</v>
      </c>
      <c r="H20" s="311">
        <f t="shared" si="0"/>
        <v>12266.172</v>
      </c>
      <c r="I20" s="312"/>
      <c r="J20" s="62"/>
      <c r="K20" s="61">
        <v>0</v>
      </c>
      <c r="L20" s="63"/>
      <c r="M20" s="63"/>
      <c r="N20" s="63"/>
      <c r="O20" s="63"/>
      <c r="P20" s="63"/>
      <c r="Q20" s="63"/>
      <c r="R20" s="63"/>
      <c r="S20" s="313"/>
      <c r="T20" s="314"/>
      <c r="U20" s="315">
        <f t="shared" si="1"/>
        <v>12266.172</v>
      </c>
      <c r="V20" s="316">
        <f t="shared" si="2"/>
        <v>73.817006679906129</v>
      </c>
      <c r="W20" s="11"/>
      <c r="X20" s="11"/>
    </row>
    <row r="21" spans="1:24" s="4" customFormat="1" x14ac:dyDescent="0.25">
      <c r="A21" s="16">
        <v>8</v>
      </c>
      <c r="B21" s="310" t="s">
        <v>5</v>
      </c>
      <c r="C21" s="60">
        <v>1</v>
      </c>
      <c r="D21" s="60">
        <v>1.8</v>
      </c>
      <c r="E21" s="60"/>
      <c r="F21" s="60"/>
      <c r="G21" s="61">
        <v>10329</v>
      </c>
      <c r="H21" s="311">
        <f t="shared" si="0"/>
        <v>11620.584000000001</v>
      </c>
      <c r="I21" s="312"/>
      <c r="J21" s="62"/>
      <c r="K21" s="61">
        <v>0</v>
      </c>
      <c r="L21" s="63"/>
      <c r="M21" s="63"/>
      <c r="N21" s="63"/>
      <c r="O21" s="63"/>
      <c r="P21" s="63"/>
      <c r="Q21" s="63"/>
      <c r="R21" s="63"/>
      <c r="S21" s="313"/>
      <c r="T21" s="314"/>
      <c r="U21" s="315">
        <f t="shared" si="1"/>
        <v>11620.584000000001</v>
      </c>
      <c r="V21" s="316">
        <f t="shared" si="2"/>
        <v>69.93190106517423</v>
      </c>
      <c r="W21" s="11"/>
      <c r="X21" s="11"/>
    </row>
    <row r="22" spans="1:24" s="4" customFormat="1" ht="23.25" x14ac:dyDescent="0.25">
      <c r="A22" s="16">
        <v>9</v>
      </c>
      <c r="B22" s="317" t="s">
        <v>249</v>
      </c>
      <c r="C22" s="60">
        <v>1</v>
      </c>
      <c r="D22" s="60">
        <v>1.8</v>
      </c>
      <c r="E22" s="60"/>
      <c r="F22" s="60"/>
      <c r="G22" s="61">
        <v>10329</v>
      </c>
      <c r="H22" s="311">
        <f t="shared" si="0"/>
        <v>11620.584000000001</v>
      </c>
      <c r="I22" s="312"/>
      <c r="J22" s="62"/>
      <c r="K22" s="61">
        <v>0</v>
      </c>
      <c r="L22" s="63"/>
      <c r="M22" s="63"/>
      <c r="N22" s="63"/>
      <c r="O22" s="63"/>
      <c r="P22" s="63"/>
      <c r="Q22" s="63"/>
      <c r="R22" s="63"/>
      <c r="S22" s="313"/>
      <c r="T22" s="314"/>
      <c r="U22" s="315">
        <f t="shared" si="1"/>
        <v>11620.584000000001</v>
      </c>
      <c r="V22" s="316">
        <f t="shared" si="2"/>
        <v>69.93190106517423</v>
      </c>
      <c r="W22" s="11"/>
      <c r="X22" s="11"/>
    </row>
    <row r="23" spans="1:24" s="4" customFormat="1" ht="15.75" customHeight="1" x14ac:dyDescent="0.25">
      <c r="A23" s="16">
        <v>10</v>
      </c>
      <c r="B23" s="310" t="s">
        <v>6</v>
      </c>
      <c r="C23" s="60">
        <v>1</v>
      </c>
      <c r="D23" s="60">
        <v>1.7</v>
      </c>
      <c r="E23" s="60"/>
      <c r="F23" s="60"/>
      <c r="G23" s="61">
        <v>9756</v>
      </c>
      <c r="H23" s="311">
        <f t="shared" si="0"/>
        <v>10974.995999999999</v>
      </c>
      <c r="I23" s="312"/>
      <c r="J23" s="62"/>
      <c r="K23" s="61">
        <v>0</v>
      </c>
      <c r="L23" s="63"/>
      <c r="M23" s="63"/>
      <c r="N23" s="63"/>
      <c r="O23" s="63"/>
      <c r="P23" s="63"/>
      <c r="Q23" s="63"/>
      <c r="R23" s="63"/>
      <c r="S23" s="313"/>
      <c r="T23" s="314"/>
      <c r="U23" s="315">
        <f t="shared" si="1"/>
        <v>10974.995999999999</v>
      </c>
      <c r="V23" s="316">
        <f t="shared" si="2"/>
        <v>66.046795450442318</v>
      </c>
      <c r="W23" s="11"/>
      <c r="X23" s="11"/>
    </row>
    <row r="24" spans="1:24" s="4" customFormat="1" ht="15.75" customHeight="1" x14ac:dyDescent="0.25">
      <c r="A24" s="16">
        <v>11</v>
      </c>
      <c r="B24" s="310" t="s">
        <v>104</v>
      </c>
      <c r="C24" s="60">
        <v>1</v>
      </c>
      <c r="D24" s="60">
        <v>1.2</v>
      </c>
      <c r="E24" s="60"/>
      <c r="F24" s="60"/>
      <c r="G24" s="61">
        <v>6886</v>
      </c>
      <c r="H24" s="311">
        <f t="shared" si="0"/>
        <v>7747.0559999999996</v>
      </c>
      <c r="I24" s="312"/>
      <c r="J24" s="62"/>
      <c r="K24" s="61">
        <v>0</v>
      </c>
      <c r="L24" s="63"/>
      <c r="M24" s="63"/>
      <c r="N24" s="63"/>
      <c r="O24" s="63"/>
      <c r="P24" s="63"/>
      <c r="Q24" s="63"/>
      <c r="R24" s="63"/>
      <c r="S24" s="313"/>
      <c r="T24" s="314"/>
      <c r="U24" s="315">
        <f t="shared" si="1"/>
        <v>7747.0559999999996</v>
      </c>
      <c r="V24" s="316">
        <f t="shared" si="2"/>
        <v>46.621267376782811</v>
      </c>
      <c r="W24" s="11"/>
      <c r="X24" s="11"/>
    </row>
    <row r="25" spans="1:24" s="4" customFormat="1" ht="23.25" x14ac:dyDescent="0.25">
      <c r="A25" s="16">
        <v>12</v>
      </c>
      <c r="B25" s="310" t="s">
        <v>105</v>
      </c>
      <c r="C25" s="60">
        <v>1</v>
      </c>
      <c r="D25" s="60">
        <v>1.9</v>
      </c>
      <c r="E25" s="60"/>
      <c r="F25" s="60"/>
      <c r="G25" s="61">
        <v>10903</v>
      </c>
      <c r="H25" s="311">
        <f t="shared" si="0"/>
        <v>12266.172</v>
      </c>
      <c r="I25" s="312"/>
      <c r="J25" s="62"/>
      <c r="K25" s="61">
        <v>0</v>
      </c>
      <c r="L25" s="63"/>
      <c r="M25" s="63"/>
      <c r="N25" s="63"/>
      <c r="O25" s="63"/>
      <c r="P25" s="63"/>
      <c r="Q25" s="63"/>
      <c r="R25" s="63"/>
      <c r="S25" s="313"/>
      <c r="T25" s="314"/>
      <c r="U25" s="315">
        <f t="shared" si="1"/>
        <v>12266.172</v>
      </c>
      <c r="V25" s="316">
        <f t="shared" si="2"/>
        <v>73.817006679906129</v>
      </c>
      <c r="W25" s="11"/>
      <c r="X25" s="11"/>
    </row>
    <row r="26" spans="1:24" s="4" customFormat="1" ht="23.25" x14ac:dyDescent="0.25">
      <c r="A26" s="16">
        <v>13</v>
      </c>
      <c r="B26" s="310" t="s">
        <v>7</v>
      </c>
      <c r="C26" s="60">
        <v>1</v>
      </c>
      <c r="D26" s="60">
        <v>1.7</v>
      </c>
      <c r="E26" s="60"/>
      <c r="F26" s="60"/>
      <c r="G26" s="61">
        <v>9756</v>
      </c>
      <c r="H26" s="311">
        <f t="shared" si="0"/>
        <v>10974.995999999999</v>
      </c>
      <c r="I26" s="312"/>
      <c r="J26" s="62"/>
      <c r="K26" s="61">
        <v>0</v>
      </c>
      <c r="L26" s="63"/>
      <c r="M26" s="63"/>
      <c r="N26" s="63"/>
      <c r="O26" s="63"/>
      <c r="P26" s="63"/>
      <c r="Q26" s="63"/>
      <c r="R26" s="63"/>
      <c r="S26" s="313"/>
      <c r="T26" s="314"/>
      <c r="U26" s="315">
        <f t="shared" si="1"/>
        <v>10974.995999999999</v>
      </c>
      <c r="V26" s="316">
        <f t="shared" si="2"/>
        <v>66.046795450442318</v>
      </c>
      <c r="W26" s="11"/>
      <c r="X26" s="11"/>
    </row>
    <row r="27" spans="1:24" s="4" customFormat="1" ht="38.25" customHeight="1" x14ac:dyDescent="0.25">
      <c r="A27" s="16">
        <v>14</v>
      </c>
      <c r="B27" s="310" t="s">
        <v>9</v>
      </c>
      <c r="C27" s="60">
        <v>1</v>
      </c>
      <c r="D27" s="60">
        <v>1.7</v>
      </c>
      <c r="E27" s="60"/>
      <c r="F27" s="60"/>
      <c r="G27" s="61">
        <v>9756</v>
      </c>
      <c r="H27" s="311">
        <f t="shared" si="0"/>
        <v>10974.995999999999</v>
      </c>
      <c r="I27" s="312"/>
      <c r="J27" s="62"/>
      <c r="K27" s="61">
        <v>0</v>
      </c>
      <c r="L27" s="63"/>
      <c r="M27" s="63"/>
      <c r="N27" s="63"/>
      <c r="O27" s="63"/>
      <c r="P27" s="63"/>
      <c r="Q27" s="63"/>
      <c r="R27" s="63"/>
      <c r="S27" s="313"/>
      <c r="T27" s="314"/>
      <c r="U27" s="315">
        <f t="shared" si="1"/>
        <v>10974.995999999999</v>
      </c>
      <c r="V27" s="316">
        <f t="shared" si="2"/>
        <v>66.046795450442318</v>
      </c>
      <c r="W27" s="11"/>
      <c r="X27" s="11"/>
    </row>
    <row r="28" spans="1:24" s="4" customFormat="1" ht="16.5" customHeight="1" thickBot="1" x14ac:dyDescent="0.3">
      <c r="A28" s="318">
        <v>15</v>
      </c>
      <c r="B28" s="319" t="s">
        <v>8</v>
      </c>
      <c r="C28" s="320">
        <v>1</v>
      </c>
      <c r="D28" s="320">
        <v>1.7</v>
      </c>
      <c r="E28" s="320"/>
      <c r="F28" s="320"/>
      <c r="G28" s="321">
        <v>9756</v>
      </c>
      <c r="H28" s="322">
        <f t="shared" si="0"/>
        <v>10974.995999999999</v>
      </c>
      <c r="I28" s="323"/>
      <c r="J28" s="324"/>
      <c r="K28" s="325">
        <v>0</v>
      </c>
      <c r="L28" s="326"/>
      <c r="M28" s="326"/>
      <c r="N28" s="326"/>
      <c r="O28" s="326"/>
      <c r="P28" s="326"/>
      <c r="Q28" s="326"/>
      <c r="R28" s="326"/>
      <c r="S28" s="327"/>
      <c r="T28" s="328"/>
      <c r="U28" s="329">
        <f t="shared" si="1"/>
        <v>10974.995999999999</v>
      </c>
      <c r="V28" s="330">
        <f t="shared" si="2"/>
        <v>66.046795450442318</v>
      </c>
      <c r="W28" s="11"/>
      <c r="X28" s="11"/>
    </row>
    <row r="29" spans="1:24" s="37" customFormat="1" ht="36.75" customHeight="1" thickBot="1" x14ac:dyDescent="0.3">
      <c r="A29" s="331">
        <v>1</v>
      </c>
      <c r="B29" s="332" t="s">
        <v>106</v>
      </c>
      <c r="C29" s="333">
        <v>15</v>
      </c>
      <c r="D29" s="333"/>
      <c r="E29" s="333"/>
      <c r="F29" s="333"/>
      <c r="G29" s="334">
        <v>187076</v>
      </c>
      <c r="H29" s="334">
        <f>SUM(H14:H28)</f>
        <v>210461.68799999997</v>
      </c>
      <c r="I29" s="335">
        <v>0</v>
      </c>
      <c r="J29" s="336"/>
      <c r="K29" s="336">
        <v>0</v>
      </c>
      <c r="L29" s="336">
        <v>0</v>
      </c>
      <c r="M29" s="336">
        <v>0</v>
      </c>
      <c r="N29" s="336">
        <v>0</v>
      </c>
      <c r="O29" s="336">
        <v>0</v>
      </c>
      <c r="P29" s="336">
        <v>0</v>
      </c>
      <c r="Q29" s="336">
        <v>0</v>
      </c>
      <c r="R29" s="336">
        <v>0</v>
      </c>
      <c r="S29" s="337">
        <v>0</v>
      </c>
      <c r="T29" s="337">
        <v>0</v>
      </c>
      <c r="U29" s="338">
        <f>SUM(U14:U28)</f>
        <v>210461.68799999997</v>
      </c>
      <c r="V29" s="339">
        <f>SUM(V14:V28)</f>
        <v>1266.5444304025996</v>
      </c>
      <c r="W29" s="36"/>
      <c r="X29" s="36"/>
    </row>
    <row r="30" spans="1:24" s="39" customFormat="1" ht="16.5" thickBot="1" x14ac:dyDescent="0.3">
      <c r="A30" s="331"/>
      <c r="B30" s="643" t="s">
        <v>107</v>
      </c>
      <c r="C30" s="644"/>
      <c r="D30" s="644"/>
      <c r="E30" s="644"/>
      <c r="F30" s="644"/>
      <c r="G30" s="645"/>
      <c r="H30" s="340"/>
      <c r="I30" s="335"/>
      <c r="J30" s="341"/>
      <c r="K30" s="341"/>
      <c r="L30" s="341"/>
      <c r="M30" s="341"/>
      <c r="N30" s="341"/>
      <c r="O30" s="341"/>
      <c r="P30" s="341"/>
      <c r="Q30" s="341"/>
      <c r="R30" s="341"/>
      <c r="S30" s="342"/>
      <c r="T30" s="343"/>
      <c r="U30" s="344"/>
      <c r="V30" s="337"/>
      <c r="W30" s="38"/>
      <c r="X30" s="38"/>
    </row>
    <row r="31" spans="1:24" s="15" customFormat="1" ht="24" customHeight="1" x14ac:dyDescent="0.25">
      <c r="A31" s="34">
        <v>16</v>
      </c>
      <c r="B31" s="345" t="s">
        <v>10</v>
      </c>
      <c r="C31" s="346">
        <v>1</v>
      </c>
      <c r="D31" s="346">
        <v>2.15</v>
      </c>
      <c r="E31" s="346"/>
      <c r="F31" s="346"/>
      <c r="G31" s="61">
        <v>12338</v>
      </c>
      <c r="H31" s="347">
        <v>12338</v>
      </c>
      <c r="I31" s="348"/>
      <c r="J31" s="349"/>
      <c r="K31" s="350">
        <v>0</v>
      </c>
      <c r="L31" s="351"/>
      <c r="M31" s="351"/>
      <c r="N31" s="351"/>
      <c r="O31" s="351"/>
      <c r="P31" s="351"/>
      <c r="Q31" s="351"/>
      <c r="R31" s="351"/>
      <c r="S31" s="352"/>
      <c r="T31" s="353"/>
      <c r="U31" s="354">
        <v>12338</v>
      </c>
      <c r="V31" s="355">
        <v>74.028000000000006</v>
      </c>
      <c r="W31" s="14"/>
      <c r="X31" s="14"/>
    </row>
    <row r="32" spans="1:24" s="15" customFormat="1" ht="30.75" customHeight="1" x14ac:dyDescent="0.25">
      <c r="A32" s="16">
        <v>17</v>
      </c>
      <c r="B32" s="310" t="s">
        <v>11</v>
      </c>
      <c r="C32" s="60">
        <v>1</v>
      </c>
      <c r="D32" s="60">
        <v>1.7</v>
      </c>
      <c r="E32" s="60"/>
      <c r="F32" s="60"/>
      <c r="G32" s="61">
        <v>9756</v>
      </c>
      <c r="H32" s="356">
        <v>9756</v>
      </c>
      <c r="I32" s="357"/>
      <c r="J32" s="64"/>
      <c r="K32" s="61">
        <v>0</v>
      </c>
      <c r="L32" s="63"/>
      <c r="M32" s="63"/>
      <c r="N32" s="63"/>
      <c r="O32" s="63"/>
      <c r="P32" s="63"/>
      <c r="Q32" s="63"/>
      <c r="R32" s="63"/>
      <c r="S32" s="358"/>
      <c r="T32" s="359"/>
      <c r="U32" s="312">
        <v>9756</v>
      </c>
      <c r="V32" s="360">
        <v>58.536000000000001</v>
      </c>
      <c r="W32" s="14"/>
      <c r="X32" s="14"/>
    </row>
    <row r="33" spans="1:24" s="15" customFormat="1" x14ac:dyDescent="0.25">
      <c r="A33" s="16">
        <v>18</v>
      </c>
      <c r="B33" s="310" t="s">
        <v>8</v>
      </c>
      <c r="C33" s="60">
        <v>2</v>
      </c>
      <c r="D33" s="60">
        <v>1.7</v>
      </c>
      <c r="E33" s="60"/>
      <c r="F33" s="60"/>
      <c r="G33" s="61">
        <v>9756</v>
      </c>
      <c r="H33" s="356">
        <v>19512</v>
      </c>
      <c r="I33" s="357"/>
      <c r="J33" s="64"/>
      <c r="K33" s="61">
        <v>0</v>
      </c>
      <c r="L33" s="63"/>
      <c r="M33" s="63"/>
      <c r="N33" s="63"/>
      <c r="O33" s="63"/>
      <c r="P33" s="63"/>
      <c r="Q33" s="63"/>
      <c r="R33" s="63"/>
      <c r="S33" s="358"/>
      <c r="T33" s="359"/>
      <c r="U33" s="312">
        <v>19512</v>
      </c>
      <c r="V33" s="360">
        <v>117.072</v>
      </c>
      <c r="W33" s="14"/>
      <c r="X33" s="14"/>
    </row>
    <row r="34" spans="1:24" s="15" customFormat="1" ht="24" thickBot="1" x14ac:dyDescent="0.3">
      <c r="A34" s="16">
        <v>19</v>
      </c>
      <c r="B34" s="310" t="s">
        <v>108</v>
      </c>
      <c r="C34" s="60">
        <v>1</v>
      </c>
      <c r="D34" s="60">
        <v>1.8</v>
      </c>
      <c r="E34" s="60"/>
      <c r="F34" s="60"/>
      <c r="G34" s="61">
        <v>10329</v>
      </c>
      <c r="H34" s="356">
        <v>10329</v>
      </c>
      <c r="I34" s="357"/>
      <c r="J34" s="64"/>
      <c r="K34" s="61">
        <v>0</v>
      </c>
      <c r="L34" s="63"/>
      <c r="M34" s="63"/>
      <c r="N34" s="63"/>
      <c r="O34" s="63"/>
      <c r="P34" s="63"/>
      <c r="Q34" s="63"/>
      <c r="R34" s="63"/>
      <c r="S34" s="358"/>
      <c r="T34" s="359"/>
      <c r="U34" s="312">
        <v>10329</v>
      </c>
      <c r="V34" s="361">
        <v>61.973999999999997</v>
      </c>
      <c r="W34" s="14"/>
      <c r="X34" s="14"/>
    </row>
    <row r="35" spans="1:24" s="18" customFormat="1" ht="16.5" thickBot="1" x14ac:dyDescent="0.3">
      <c r="A35" s="362"/>
      <c r="B35" s="363" t="s">
        <v>109</v>
      </c>
      <c r="C35" s="364">
        <v>5</v>
      </c>
      <c r="D35" s="364"/>
      <c r="E35" s="364"/>
      <c r="F35" s="364"/>
      <c r="G35" s="365">
        <v>42179</v>
      </c>
      <c r="H35" s="366">
        <v>51935</v>
      </c>
      <c r="I35" s="367">
        <v>0</v>
      </c>
      <c r="J35" s="365"/>
      <c r="K35" s="365">
        <v>0</v>
      </c>
      <c r="L35" s="365">
        <v>0</v>
      </c>
      <c r="M35" s="365">
        <v>0</v>
      </c>
      <c r="N35" s="365">
        <v>0</v>
      </c>
      <c r="O35" s="365">
        <v>0</v>
      </c>
      <c r="P35" s="365">
        <v>0</v>
      </c>
      <c r="Q35" s="365">
        <v>0</v>
      </c>
      <c r="R35" s="365">
        <v>0</v>
      </c>
      <c r="S35" s="368">
        <v>0</v>
      </c>
      <c r="T35" s="369"/>
      <c r="U35" s="370">
        <v>51935</v>
      </c>
      <c r="V35" s="368">
        <v>311.61</v>
      </c>
      <c r="W35" s="17"/>
      <c r="X35" s="17"/>
    </row>
    <row r="36" spans="1:24" s="15" customFormat="1" ht="23.25" x14ac:dyDescent="0.25">
      <c r="A36" s="34">
        <v>20</v>
      </c>
      <c r="B36" s="345" t="s">
        <v>110</v>
      </c>
      <c r="C36" s="346">
        <v>3</v>
      </c>
      <c r="D36" s="346">
        <v>1.3</v>
      </c>
      <c r="E36" s="346"/>
      <c r="F36" s="346"/>
      <c r="G36" s="61">
        <v>7460</v>
      </c>
      <c r="H36" s="347">
        <v>22380</v>
      </c>
      <c r="I36" s="348"/>
      <c r="J36" s="349"/>
      <c r="K36" s="350">
        <v>0</v>
      </c>
      <c r="L36" s="351"/>
      <c r="M36" s="351"/>
      <c r="N36" s="351"/>
      <c r="O36" s="351"/>
      <c r="P36" s="351"/>
      <c r="Q36" s="351"/>
      <c r="R36" s="351"/>
      <c r="S36" s="352"/>
      <c r="T36" s="353"/>
      <c r="U36" s="354">
        <v>22380</v>
      </c>
      <c r="V36" s="355">
        <v>134.28</v>
      </c>
      <c r="W36" s="14"/>
      <c r="X36" s="14"/>
    </row>
    <row r="37" spans="1:24" s="15" customFormat="1" ht="40.5" customHeight="1" x14ac:dyDescent="0.25">
      <c r="A37" s="16">
        <v>21</v>
      </c>
      <c r="B37" s="310" t="s">
        <v>111</v>
      </c>
      <c r="C37" s="60">
        <v>7</v>
      </c>
      <c r="D37" s="60">
        <v>1.2</v>
      </c>
      <c r="E37" s="60"/>
      <c r="F37" s="60"/>
      <c r="G37" s="61">
        <v>6886</v>
      </c>
      <c r="H37" s="356">
        <v>48202</v>
      </c>
      <c r="I37" s="357">
        <v>1928.08</v>
      </c>
      <c r="J37" s="64"/>
      <c r="K37" s="61">
        <v>0</v>
      </c>
      <c r="L37" s="63"/>
      <c r="M37" s="63"/>
      <c r="N37" s="63"/>
      <c r="O37" s="63"/>
      <c r="P37" s="63"/>
      <c r="Q37" s="63"/>
      <c r="R37" s="63"/>
      <c r="S37" s="358"/>
      <c r="T37" s="359"/>
      <c r="U37" s="312">
        <v>50130.080000000002</v>
      </c>
      <c r="V37" s="360">
        <v>300.78047999999995</v>
      </c>
      <c r="W37" s="14"/>
      <c r="X37" s="14"/>
    </row>
    <row r="38" spans="1:24" s="15" customFormat="1" ht="55.5" customHeight="1" x14ac:dyDescent="0.25">
      <c r="A38" s="16">
        <v>22</v>
      </c>
      <c r="B38" s="310" t="s">
        <v>12</v>
      </c>
      <c r="C38" s="60">
        <v>2</v>
      </c>
      <c r="D38" s="60">
        <v>1.2</v>
      </c>
      <c r="E38" s="60"/>
      <c r="F38" s="60"/>
      <c r="G38" s="61">
        <v>6886</v>
      </c>
      <c r="H38" s="356">
        <v>13772</v>
      </c>
      <c r="I38" s="357">
        <v>550.88</v>
      </c>
      <c r="J38" s="64"/>
      <c r="K38" s="61">
        <v>0</v>
      </c>
      <c r="L38" s="63"/>
      <c r="M38" s="63"/>
      <c r="N38" s="63"/>
      <c r="O38" s="63"/>
      <c r="P38" s="63"/>
      <c r="Q38" s="63"/>
      <c r="R38" s="63"/>
      <c r="S38" s="358"/>
      <c r="T38" s="359"/>
      <c r="U38" s="312">
        <v>14322.88</v>
      </c>
      <c r="V38" s="360">
        <v>85.937280000000001</v>
      </c>
      <c r="W38" s="14"/>
      <c r="X38" s="14"/>
    </row>
    <row r="39" spans="1:24" s="15" customFormat="1" ht="16.5" thickBot="1" x14ac:dyDescent="0.3">
      <c r="A39" s="371">
        <v>23</v>
      </c>
      <c r="B39" s="372" t="s">
        <v>13</v>
      </c>
      <c r="C39" s="373">
        <v>1</v>
      </c>
      <c r="D39" s="373">
        <v>1.3</v>
      </c>
      <c r="E39" s="373"/>
      <c r="F39" s="373"/>
      <c r="G39" s="61">
        <v>7460</v>
      </c>
      <c r="H39" s="374">
        <v>7460</v>
      </c>
      <c r="I39" s="375"/>
      <c r="J39" s="376"/>
      <c r="K39" s="377">
        <v>0</v>
      </c>
      <c r="L39" s="378"/>
      <c r="M39" s="378"/>
      <c r="N39" s="378"/>
      <c r="O39" s="378"/>
      <c r="P39" s="378"/>
      <c r="Q39" s="378"/>
      <c r="R39" s="378"/>
      <c r="S39" s="379"/>
      <c r="T39" s="380"/>
      <c r="U39" s="312">
        <v>7460</v>
      </c>
      <c r="V39" s="361">
        <v>44.76</v>
      </c>
      <c r="W39" s="14"/>
      <c r="X39" s="14"/>
    </row>
    <row r="40" spans="1:24" s="18" customFormat="1" ht="16.5" thickBot="1" x14ac:dyDescent="0.3">
      <c r="A40" s="362"/>
      <c r="B40" s="363" t="s">
        <v>112</v>
      </c>
      <c r="C40" s="364">
        <v>13</v>
      </c>
      <c r="D40" s="381"/>
      <c r="E40" s="381"/>
      <c r="F40" s="381"/>
      <c r="G40" s="365">
        <v>28692</v>
      </c>
      <c r="H40" s="366">
        <v>91814</v>
      </c>
      <c r="I40" s="367">
        <v>2478.96</v>
      </c>
      <c r="J40" s="365"/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8">
        <v>0</v>
      </c>
      <c r="T40" s="369"/>
      <c r="U40" s="370">
        <v>94292.96</v>
      </c>
      <c r="V40" s="368">
        <v>565.75775999999996</v>
      </c>
      <c r="W40" s="17"/>
      <c r="X40" s="17"/>
    </row>
    <row r="41" spans="1:24" s="15" customFormat="1" ht="22.5" x14ac:dyDescent="0.25">
      <c r="A41" s="34"/>
      <c r="B41" s="382" t="s">
        <v>15</v>
      </c>
      <c r="C41" s="346"/>
      <c r="D41" s="346"/>
      <c r="E41" s="346"/>
      <c r="F41" s="346"/>
      <c r="G41" s="350"/>
      <c r="H41" s="347"/>
      <c r="I41" s="348"/>
      <c r="J41" s="351"/>
      <c r="K41" s="351"/>
      <c r="L41" s="351"/>
      <c r="M41" s="351"/>
      <c r="N41" s="351"/>
      <c r="O41" s="351"/>
      <c r="P41" s="351"/>
      <c r="Q41" s="351"/>
      <c r="R41" s="351"/>
      <c r="S41" s="352"/>
      <c r="T41" s="353"/>
      <c r="U41" s="383"/>
      <c r="V41" s="355"/>
      <c r="W41" s="14"/>
      <c r="X41" s="14"/>
    </row>
    <row r="42" spans="1:24" s="15" customFormat="1" ht="16.5" thickBot="1" x14ac:dyDescent="0.3">
      <c r="A42" s="371">
        <v>24</v>
      </c>
      <c r="B42" s="372" t="s">
        <v>113</v>
      </c>
      <c r="C42" s="373">
        <v>1</v>
      </c>
      <c r="D42" s="373">
        <v>1.8</v>
      </c>
      <c r="E42" s="373"/>
      <c r="F42" s="373"/>
      <c r="G42" s="61">
        <v>10329</v>
      </c>
      <c r="H42" s="374">
        <v>10329</v>
      </c>
      <c r="I42" s="375"/>
      <c r="J42" s="376"/>
      <c r="K42" s="377">
        <v>0</v>
      </c>
      <c r="L42" s="378"/>
      <c r="M42" s="378"/>
      <c r="N42" s="378"/>
      <c r="O42" s="378"/>
      <c r="P42" s="378"/>
      <c r="Q42" s="378"/>
      <c r="R42" s="378"/>
      <c r="S42" s="379"/>
      <c r="T42" s="380"/>
      <c r="U42" s="384">
        <v>10329</v>
      </c>
      <c r="V42" s="361">
        <v>61.973999999999997</v>
      </c>
      <c r="W42" s="14"/>
      <c r="X42" s="14"/>
    </row>
    <row r="43" spans="1:24" s="18" customFormat="1" ht="16.5" thickBot="1" x14ac:dyDescent="0.3">
      <c r="A43" s="362"/>
      <c r="B43" s="363" t="s">
        <v>114</v>
      </c>
      <c r="C43" s="364">
        <v>1</v>
      </c>
      <c r="D43" s="364"/>
      <c r="E43" s="364"/>
      <c r="F43" s="364"/>
      <c r="G43" s="365">
        <v>10329</v>
      </c>
      <c r="H43" s="366">
        <v>10329</v>
      </c>
      <c r="I43" s="367">
        <v>0</v>
      </c>
      <c r="J43" s="365"/>
      <c r="K43" s="365">
        <v>0</v>
      </c>
      <c r="L43" s="365">
        <v>0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8">
        <v>0</v>
      </c>
      <c r="T43" s="369"/>
      <c r="U43" s="370">
        <v>10329</v>
      </c>
      <c r="V43" s="368">
        <v>61.973999999999997</v>
      </c>
      <c r="W43" s="17"/>
      <c r="X43" s="17"/>
    </row>
    <row r="44" spans="1:24" s="15" customFormat="1" ht="16.5" thickBot="1" x14ac:dyDescent="0.3">
      <c r="A44" s="385">
        <v>25</v>
      </c>
      <c r="B44" s="386" t="s">
        <v>251</v>
      </c>
      <c r="C44" s="387">
        <v>2</v>
      </c>
      <c r="D44" s="387" t="s">
        <v>115</v>
      </c>
      <c r="E44" s="387">
        <v>1.35</v>
      </c>
      <c r="F44" s="388">
        <v>46.61</v>
      </c>
      <c r="G44" s="389">
        <v>7746.58</v>
      </c>
      <c r="H44" s="390">
        <v>15493.16</v>
      </c>
      <c r="I44" s="391"/>
      <c r="J44" s="392"/>
      <c r="K44" s="389">
        <v>0</v>
      </c>
      <c r="L44" s="393"/>
      <c r="M44" s="393"/>
      <c r="N44" s="393"/>
      <c r="O44" s="393"/>
      <c r="P44" s="393"/>
      <c r="Q44" s="393"/>
      <c r="R44" s="393"/>
      <c r="S44" s="394"/>
      <c r="T44" s="395"/>
      <c r="U44" s="396">
        <v>15493.16</v>
      </c>
      <c r="V44" s="397">
        <v>92.95895999999999</v>
      </c>
      <c r="W44" s="14"/>
      <c r="X44" s="14"/>
    </row>
    <row r="45" spans="1:24" s="18" customFormat="1" ht="16.5" thickBot="1" x14ac:dyDescent="0.3">
      <c r="A45" s="398"/>
      <c r="B45" s="399" t="s">
        <v>112</v>
      </c>
      <c r="C45" s="400">
        <v>2</v>
      </c>
      <c r="D45" s="400"/>
      <c r="E45" s="400"/>
      <c r="F45" s="400"/>
      <c r="G45" s="401">
        <v>7746.58</v>
      </c>
      <c r="H45" s="402">
        <v>15493.16</v>
      </c>
      <c r="I45" s="403">
        <v>0</v>
      </c>
      <c r="J45" s="401"/>
      <c r="K45" s="401">
        <v>0</v>
      </c>
      <c r="L45" s="401">
        <v>0</v>
      </c>
      <c r="M45" s="401">
        <v>0</v>
      </c>
      <c r="N45" s="401">
        <v>0</v>
      </c>
      <c r="O45" s="401">
        <v>0</v>
      </c>
      <c r="P45" s="401">
        <v>0</v>
      </c>
      <c r="Q45" s="401">
        <v>0</v>
      </c>
      <c r="R45" s="401">
        <v>0</v>
      </c>
      <c r="S45" s="404">
        <v>0</v>
      </c>
      <c r="T45" s="405"/>
      <c r="U45" s="406">
        <v>15493.16</v>
      </c>
      <c r="V45" s="404">
        <v>92.95895999999999</v>
      </c>
      <c r="W45" s="17"/>
      <c r="X45" s="17"/>
    </row>
    <row r="46" spans="1:24" s="39" customFormat="1" ht="24" thickBot="1" x14ac:dyDescent="0.3">
      <c r="A46" s="331"/>
      <c r="B46" s="407" t="s">
        <v>116</v>
      </c>
      <c r="C46" s="408">
        <v>6</v>
      </c>
      <c r="D46" s="408"/>
      <c r="E46" s="408"/>
      <c r="F46" s="408"/>
      <c r="G46" s="336">
        <v>52508</v>
      </c>
      <c r="H46" s="340">
        <v>62264</v>
      </c>
      <c r="I46" s="335">
        <v>0</v>
      </c>
      <c r="J46" s="336"/>
      <c r="K46" s="336">
        <v>0</v>
      </c>
      <c r="L46" s="336">
        <v>0</v>
      </c>
      <c r="M46" s="336">
        <v>0</v>
      </c>
      <c r="N46" s="336">
        <v>0</v>
      </c>
      <c r="O46" s="336">
        <v>0</v>
      </c>
      <c r="P46" s="336">
        <v>0</v>
      </c>
      <c r="Q46" s="336">
        <v>0</v>
      </c>
      <c r="R46" s="336">
        <v>0</v>
      </c>
      <c r="S46" s="336">
        <v>0</v>
      </c>
      <c r="T46" s="337">
        <v>0</v>
      </c>
      <c r="U46" s="409">
        <v>62264</v>
      </c>
      <c r="V46" s="337">
        <v>373.584</v>
      </c>
      <c r="W46" s="38"/>
      <c r="X46" s="38"/>
    </row>
    <row r="47" spans="1:24" s="39" customFormat="1" ht="24" thickBot="1" x14ac:dyDescent="0.3">
      <c r="A47" s="331"/>
      <c r="B47" s="407" t="s">
        <v>117</v>
      </c>
      <c r="C47" s="408">
        <v>15</v>
      </c>
      <c r="D47" s="408"/>
      <c r="E47" s="408"/>
      <c r="F47" s="408"/>
      <c r="G47" s="336">
        <v>36438.58</v>
      </c>
      <c r="H47" s="340">
        <v>107307.16</v>
      </c>
      <c r="I47" s="335">
        <v>2478.96</v>
      </c>
      <c r="J47" s="336"/>
      <c r="K47" s="336">
        <v>0</v>
      </c>
      <c r="L47" s="336">
        <v>0</v>
      </c>
      <c r="M47" s="336">
        <v>0</v>
      </c>
      <c r="N47" s="336">
        <v>0</v>
      </c>
      <c r="O47" s="336">
        <v>0</v>
      </c>
      <c r="P47" s="336">
        <v>0</v>
      </c>
      <c r="Q47" s="336">
        <v>0</v>
      </c>
      <c r="R47" s="336">
        <v>0</v>
      </c>
      <c r="S47" s="336">
        <v>0</v>
      </c>
      <c r="T47" s="337">
        <v>0</v>
      </c>
      <c r="U47" s="409">
        <v>109786.12000000001</v>
      </c>
      <c r="V47" s="337">
        <v>658.7167199999999</v>
      </c>
      <c r="W47" s="38"/>
      <c r="X47" s="38"/>
    </row>
    <row r="48" spans="1:24" s="39" customFormat="1" ht="16.5" thickBot="1" x14ac:dyDescent="0.3">
      <c r="A48" s="410"/>
      <c r="B48" s="332" t="s">
        <v>16</v>
      </c>
      <c r="C48" s="333">
        <v>21</v>
      </c>
      <c r="D48" s="333"/>
      <c r="E48" s="333"/>
      <c r="F48" s="333"/>
      <c r="G48" s="411">
        <v>88946.58</v>
      </c>
      <c r="H48" s="412">
        <v>169571.16</v>
      </c>
      <c r="I48" s="338">
        <v>2478.96</v>
      </c>
      <c r="J48" s="411"/>
      <c r="K48" s="411">
        <v>0</v>
      </c>
      <c r="L48" s="411">
        <v>0</v>
      </c>
      <c r="M48" s="411">
        <v>0</v>
      </c>
      <c r="N48" s="411">
        <v>0</v>
      </c>
      <c r="O48" s="411">
        <v>0</v>
      </c>
      <c r="P48" s="411">
        <v>0</v>
      </c>
      <c r="Q48" s="411">
        <v>0</v>
      </c>
      <c r="R48" s="411">
        <v>0</v>
      </c>
      <c r="S48" s="411">
        <v>0</v>
      </c>
      <c r="T48" s="339">
        <v>0</v>
      </c>
      <c r="U48" s="413">
        <v>172050.12</v>
      </c>
      <c r="V48" s="339">
        <v>1032.30072</v>
      </c>
      <c r="W48" s="38"/>
      <c r="X48" s="38"/>
    </row>
    <row r="49" spans="1:24" s="39" customFormat="1" ht="19.5" customHeight="1" thickBot="1" x14ac:dyDescent="0.3">
      <c r="A49" s="414"/>
      <c r="B49" s="646" t="s">
        <v>34</v>
      </c>
      <c r="C49" s="647"/>
      <c r="D49" s="647"/>
      <c r="E49" s="647"/>
      <c r="F49" s="647"/>
      <c r="G49" s="647"/>
      <c r="H49" s="647"/>
      <c r="I49" s="415"/>
      <c r="J49" s="416"/>
      <c r="K49" s="416"/>
      <c r="L49" s="416"/>
      <c r="M49" s="416"/>
      <c r="N49" s="416"/>
      <c r="O49" s="416"/>
      <c r="P49" s="416"/>
      <c r="Q49" s="416"/>
      <c r="R49" s="416"/>
      <c r="S49" s="417"/>
      <c r="T49" s="418"/>
      <c r="U49" s="419"/>
      <c r="V49" s="420"/>
      <c r="W49" s="38"/>
      <c r="X49" s="38"/>
    </row>
    <row r="50" spans="1:24" s="15" customFormat="1" x14ac:dyDescent="0.25">
      <c r="A50" s="298">
        <v>26</v>
      </c>
      <c r="B50" s="299" t="s">
        <v>35</v>
      </c>
      <c r="C50" s="300">
        <v>1</v>
      </c>
      <c r="D50" s="300">
        <v>2.6</v>
      </c>
      <c r="E50" s="300"/>
      <c r="F50" s="300"/>
      <c r="G50" s="301">
        <v>14920</v>
      </c>
      <c r="H50" s="302">
        <v>14920</v>
      </c>
      <c r="I50" s="421"/>
      <c r="J50" s="422"/>
      <c r="K50" s="301">
        <v>0</v>
      </c>
      <c r="L50" s="423"/>
      <c r="M50" s="423"/>
      <c r="N50" s="423"/>
      <c r="O50" s="423"/>
      <c r="P50" s="423"/>
      <c r="Q50" s="423"/>
      <c r="R50" s="423"/>
      <c r="S50" s="424"/>
      <c r="T50" s="298"/>
      <c r="U50" s="425">
        <v>14920</v>
      </c>
      <c r="V50" s="302">
        <v>89.52</v>
      </c>
      <c r="W50" s="14"/>
      <c r="X50" s="14"/>
    </row>
    <row r="51" spans="1:24" s="15" customFormat="1" x14ac:dyDescent="0.25">
      <c r="A51" s="34">
        <v>27</v>
      </c>
      <c r="B51" s="426" t="s">
        <v>252</v>
      </c>
      <c r="C51" s="346">
        <v>1</v>
      </c>
      <c r="D51" s="346">
        <v>2.6</v>
      </c>
      <c r="E51" s="346"/>
      <c r="F51" s="346"/>
      <c r="G51" s="350">
        <v>14920</v>
      </c>
      <c r="H51" s="427">
        <v>14920</v>
      </c>
      <c r="I51" s="354"/>
      <c r="J51" s="349"/>
      <c r="K51" s="350"/>
      <c r="L51" s="351"/>
      <c r="M51" s="351"/>
      <c r="N51" s="351"/>
      <c r="O51" s="351"/>
      <c r="P51" s="351"/>
      <c r="Q51" s="351"/>
      <c r="R51" s="351"/>
      <c r="S51" s="428"/>
      <c r="T51" s="34"/>
      <c r="U51" s="348">
        <v>14920</v>
      </c>
      <c r="V51" s="427">
        <v>89.52</v>
      </c>
      <c r="W51" s="14"/>
      <c r="X51" s="14"/>
    </row>
    <row r="52" spans="1:24" s="15" customFormat="1" x14ac:dyDescent="0.25">
      <c r="A52" s="34">
        <v>28</v>
      </c>
      <c r="B52" s="345" t="s">
        <v>36</v>
      </c>
      <c r="C52" s="346">
        <v>1</v>
      </c>
      <c r="D52" s="346">
        <v>1.9</v>
      </c>
      <c r="E52" s="346"/>
      <c r="F52" s="346"/>
      <c r="G52" s="350">
        <v>10903</v>
      </c>
      <c r="H52" s="427">
        <v>10903</v>
      </c>
      <c r="I52" s="354"/>
      <c r="J52" s="349"/>
      <c r="K52" s="350">
        <v>0</v>
      </c>
      <c r="L52" s="351"/>
      <c r="M52" s="351"/>
      <c r="N52" s="351"/>
      <c r="O52" s="351"/>
      <c r="P52" s="351"/>
      <c r="Q52" s="351"/>
      <c r="R52" s="351"/>
      <c r="S52" s="428"/>
      <c r="T52" s="34"/>
      <c r="U52" s="348">
        <v>10903</v>
      </c>
      <c r="V52" s="427">
        <v>65.418000000000006</v>
      </c>
      <c r="W52" s="14"/>
      <c r="X52" s="14"/>
    </row>
    <row r="53" spans="1:24" s="15" customFormat="1" ht="40.5" customHeight="1" x14ac:dyDescent="0.25">
      <c r="A53" s="16">
        <v>29</v>
      </c>
      <c r="B53" s="310" t="s">
        <v>37</v>
      </c>
      <c r="C53" s="60">
        <v>1</v>
      </c>
      <c r="D53" s="65">
        <v>1.8</v>
      </c>
      <c r="E53" s="60"/>
      <c r="F53" s="60"/>
      <c r="G53" s="61">
        <v>10329</v>
      </c>
      <c r="H53" s="311">
        <v>10329</v>
      </c>
      <c r="I53" s="312"/>
      <c r="J53" s="64"/>
      <c r="K53" s="61">
        <v>0</v>
      </c>
      <c r="L53" s="63"/>
      <c r="M53" s="63"/>
      <c r="N53" s="63"/>
      <c r="O53" s="63"/>
      <c r="P53" s="63"/>
      <c r="Q53" s="63"/>
      <c r="R53" s="63"/>
      <c r="S53" s="429"/>
      <c r="T53" s="16"/>
      <c r="U53" s="357">
        <v>10329</v>
      </c>
      <c r="V53" s="311">
        <v>61.973999999999997</v>
      </c>
      <c r="W53" s="14"/>
      <c r="X53" s="14"/>
    </row>
    <row r="54" spans="1:24" s="15" customFormat="1" ht="16.5" customHeight="1" x14ac:dyDescent="0.25">
      <c r="A54" s="16">
        <v>30</v>
      </c>
      <c r="B54" s="310" t="s">
        <v>38</v>
      </c>
      <c r="C54" s="60">
        <v>1</v>
      </c>
      <c r="D54" s="65">
        <v>1.8</v>
      </c>
      <c r="E54" s="60"/>
      <c r="F54" s="60"/>
      <c r="G54" s="61">
        <v>10329</v>
      </c>
      <c r="H54" s="311">
        <v>10329</v>
      </c>
      <c r="I54" s="312"/>
      <c r="J54" s="64"/>
      <c r="K54" s="61">
        <v>0</v>
      </c>
      <c r="L54" s="63"/>
      <c r="M54" s="63"/>
      <c r="N54" s="63"/>
      <c r="O54" s="63"/>
      <c r="P54" s="63"/>
      <c r="Q54" s="63"/>
      <c r="R54" s="63"/>
      <c r="S54" s="429"/>
      <c r="T54" s="16"/>
      <c r="U54" s="357">
        <v>10329</v>
      </c>
      <c r="V54" s="311">
        <v>61.973999999999997</v>
      </c>
      <c r="W54" s="14"/>
      <c r="X54" s="14"/>
    </row>
    <row r="55" spans="1:24" s="15" customFormat="1" ht="16.5" thickBot="1" x14ac:dyDescent="0.3">
      <c r="A55" s="33">
        <v>31</v>
      </c>
      <c r="B55" s="430" t="s">
        <v>253</v>
      </c>
      <c r="C55" s="320">
        <v>0.5</v>
      </c>
      <c r="D55" s="431">
        <v>1.5</v>
      </c>
      <c r="E55" s="320"/>
      <c r="F55" s="320"/>
      <c r="G55" s="321">
        <v>8608</v>
      </c>
      <c r="H55" s="322">
        <v>4304</v>
      </c>
      <c r="I55" s="432"/>
      <c r="J55" s="433"/>
      <c r="K55" s="321">
        <v>0</v>
      </c>
      <c r="L55" s="434"/>
      <c r="M55" s="434"/>
      <c r="N55" s="434"/>
      <c r="O55" s="434"/>
      <c r="P55" s="434"/>
      <c r="Q55" s="434"/>
      <c r="R55" s="434"/>
      <c r="S55" s="435"/>
      <c r="T55" s="33"/>
      <c r="U55" s="436">
        <v>4304</v>
      </c>
      <c r="V55" s="322">
        <v>25.824000000000002</v>
      </c>
      <c r="W55" s="14"/>
      <c r="X55" s="14"/>
    </row>
    <row r="56" spans="1:24" s="18" customFormat="1" ht="16.5" thickBot="1" x14ac:dyDescent="0.3">
      <c r="A56" s="318"/>
      <c r="B56" s="363" t="s">
        <v>109</v>
      </c>
      <c r="C56" s="364">
        <v>5.5</v>
      </c>
      <c r="D56" s="364"/>
      <c r="E56" s="364"/>
      <c r="F56" s="364"/>
      <c r="G56" s="365">
        <v>70009</v>
      </c>
      <c r="H56" s="368">
        <v>65705</v>
      </c>
      <c r="I56" s="367">
        <v>0</v>
      </c>
      <c r="J56" s="365"/>
      <c r="K56" s="365">
        <v>0</v>
      </c>
      <c r="L56" s="365">
        <v>0</v>
      </c>
      <c r="M56" s="365">
        <v>0</v>
      </c>
      <c r="N56" s="365">
        <v>0</v>
      </c>
      <c r="O56" s="365">
        <v>0</v>
      </c>
      <c r="P56" s="365">
        <v>0</v>
      </c>
      <c r="Q56" s="365">
        <v>0</v>
      </c>
      <c r="R56" s="365">
        <v>0</v>
      </c>
      <c r="S56" s="368">
        <v>0</v>
      </c>
      <c r="T56" s="437">
        <v>0</v>
      </c>
      <c r="U56" s="367">
        <v>65705</v>
      </c>
      <c r="V56" s="368">
        <v>394.23</v>
      </c>
      <c r="W56" s="17"/>
      <c r="X56" s="17"/>
    </row>
    <row r="57" spans="1:24" s="18" customFormat="1" ht="33" x14ac:dyDescent="0.25">
      <c r="A57" s="34"/>
      <c r="B57" s="382" t="s">
        <v>45</v>
      </c>
      <c r="C57" s="346"/>
      <c r="D57" s="346"/>
      <c r="E57" s="346"/>
      <c r="F57" s="346"/>
      <c r="G57" s="350"/>
      <c r="H57" s="347"/>
      <c r="I57" s="348"/>
      <c r="J57" s="351"/>
      <c r="K57" s="351"/>
      <c r="L57" s="351"/>
      <c r="M57" s="351"/>
      <c r="N57" s="351"/>
      <c r="O57" s="351"/>
      <c r="P57" s="351"/>
      <c r="Q57" s="351"/>
      <c r="R57" s="351"/>
      <c r="S57" s="352"/>
      <c r="T57" s="353"/>
      <c r="U57" s="383"/>
      <c r="V57" s="355"/>
      <c r="W57" s="17"/>
      <c r="X57" s="17"/>
    </row>
    <row r="58" spans="1:24" s="15" customFormat="1" x14ac:dyDescent="0.25">
      <c r="A58" s="16">
        <v>32</v>
      </c>
      <c r="B58" s="310" t="s">
        <v>118</v>
      </c>
      <c r="C58" s="60">
        <v>1</v>
      </c>
      <c r="D58" s="60">
        <v>2.15</v>
      </c>
      <c r="E58" s="60"/>
      <c r="F58" s="60"/>
      <c r="G58" s="61">
        <v>12338</v>
      </c>
      <c r="H58" s="356">
        <v>12338</v>
      </c>
      <c r="I58" s="357"/>
      <c r="J58" s="64"/>
      <c r="K58" s="61">
        <v>0</v>
      </c>
      <c r="L58" s="63"/>
      <c r="M58" s="63"/>
      <c r="N58" s="63"/>
      <c r="O58" s="63"/>
      <c r="P58" s="63"/>
      <c r="Q58" s="63"/>
      <c r="R58" s="63"/>
      <c r="S58" s="358"/>
      <c r="T58" s="359"/>
      <c r="U58" s="438">
        <v>12338</v>
      </c>
      <c r="V58" s="360">
        <v>74.028000000000006</v>
      </c>
      <c r="W58" s="14"/>
      <c r="X58" s="14"/>
    </row>
    <row r="59" spans="1:24" s="15" customFormat="1" ht="16.5" thickBot="1" x14ac:dyDescent="0.3">
      <c r="A59" s="371">
        <v>33</v>
      </c>
      <c r="B59" s="372" t="s">
        <v>46</v>
      </c>
      <c r="C59" s="373">
        <v>1</v>
      </c>
      <c r="D59" s="439">
        <v>1.7</v>
      </c>
      <c r="E59" s="373"/>
      <c r="F59" s="373"/>
      <c r="G59" s="61">
        <v>9756</v>
      </c>
      <c r="H59" s="374">
        <v>9756</v>
      </c>
      <c r="I59" s="375"/>
      <c r="J59" s="376"/>
      <c r="K59" s="377">
        <v>0</v>
      </c>
      <c r="L59" s="378"/>
      <c r="M59" s="378"/>
      <c r="N59" s="378"/>
      <c r="O59" s="378"/>
      <c r="P59" s="378"/>
      <c r="Q59" s="378"/>
      <c r="R59" s="378"/>
      <c r="S59" s="379"/>
      <c r="T59" s="380"/>
      <c r="U59" s="384">
        <v>9756</v>
      </c>
      <c r="V59" s="361">
        <v>58.536000000000001</v>
      </c>
      <c r="W59" s="14"/>
      <c r="X59" s="14"/>
    </row>
    <row r="60" spans="1:24" s="18" customFormat="1" ht="16.5" thickBot="1" x14ac:dyDescent="0.3">
      <c r="A60" s="362"/>
      <c r="B60" s="363" t="s">
        <v>109</v>
      </c>
      <c r="C60" s="364">
        <v>2</v>
      </c>
      <c r="D60" s="364"/>
      <c r="E60" s="364"/>
      <c r="F60" s="364"/>
      <c r="G60" s="365">
        <v>22094</v>
      </c>
      <c r="H60" s="366">
        <v>22094</v>
      </c>
      <c r="I60" s="367">
        <v>0</v>
      </c>
      <c r="J60" s="365"/>
      <c r="K60" s="365">
        <v>0</v>
      </c>
      <c r="L60" s="365">
        <v>0</v>
      </c>
      <c r="M60" s="365">
        <v>0</v>
      </c>
      <c r="N60" s="365">
        <v>0</v>
      </c>
      <c r="O60" s="365">
        <v>0</v>
      </c>
      <c r="P60" s="365">
        <v>0</v>
      </c>
      <c r="Q60" s="365">
        <v>0</v>
      </c>
      <c r="R60" s="365">
        <v>0</v>
      </c>
      <c r="S60" s="366">
        <v>0</v>
      </c>
      <c r="T60" s="369">
        <v>0</v>
      </c>
      <c r="U60" s="370">
        <v>22094</v>
      </c>
      <c r="V60" s="368">
        <v>132.56400000000002</v>
      </c>
      <c r="W60" s="17"/>
      <c r="X60" s="17"/>
    </row>
    <row r="61" spans="1:24" s="15" customFormat="1" ht="24" thickBot="1" x14ac:dyDescent="0.3">
      <c r="A61" s="385">
        <v>34</v>
      </c>
      <c r="B61" s="386" t="s">
        <v>119</v>
      </c>
      <c r="C61" s="387">
        <v>5</v>
      </c>
      <c r="D61" s="387" t="s">
        <v>70</v>
      </c>
      <c r="E61" s="387">
        <v>1.2</v>
      </c>
      <c r="F61" s="388">
        <v>41.43</v>
      </c>
      <c r="G61" s="389">
        <v>6885.67</v>
      </c>
      <c r="H61" s="390">
        <v>34428.35</v>
      </c>
      <c r="I61" s="440">
        <v>1377.13</v>
      </c>
      <c r="J61" s="392"/>
      <c r="K61" s="389">
        <v>0</v>
      </c>
      <c r="L61" s="393"/>
      <c r="M61" s="393"/>
      <c r="N61" s="393"/>
      <c r="O61" s="393"/>
      <c r="P61" s="393">
        <v>3528.46</v>
      </c>
      <c r="Q61" s="389">
        <v>911.46</v>
      </c>
      <c r="R61" s="393"/>
      <c r="S61" s="394"/>
      <c r="T61" s="395"/>
      <c r="U61" s="396">
        <v>40245.399999999994</v>
      </c>
      <c r="V61" s="360">
        <v>241.47239999999996</v>
      </c>
      <c r="W61" s="14"/>
      <c r="X61" s="14"/>
    </row>
    <row r="62" spans="1:24" s="18" customFormat="1" ht="16.5" thickBot="1" x14ac:dyDescent="0.3">
      <c r="A62" s="362"/>
      <c r="B62" s="363" t="s">
        <v>112</v>
      </c>
      <c r="C62" s="364">
        <v>5</v>
      </c>
      <c r="D62" s="364"/>
      <c r="E62" s="364"/>
      <c r="F62" s="364"/>
      <c r="G62" s="365">
        <v>6885.67</v>
      </c>
      <c r="H62" s="366">
        <v>34428.35</v>
      </c>
      <c r="I62" s="367">
        <v>1377.13</v>
      </c>
      <c r="J62" s="365"/>
      <c r="K62" s="365">
        <v>0</v>
      </c>
      <c r="L62" s="365">
        <v>0</v>
      </c>
      <c r="M62" s="365">
        <v>0</v>
      </c>
      <c r="N62" s="365">
        <v>0</v>
      </c>
      <c r="O62" s="365">
        <v>0</v>
      </c>
      <c r="P62" s="365">
        <v>3528.46</v>
      </c>
      <c r="Q62" s="365">
        <v>911.46</v>
      </c>
      <c r="R62" s="365">
        <v>0</v>
      </c>
      <c r="S62" s="366">
        <v>0</v>
      </c>
      <c r="T62" s="369">
        <v>0</v>
      </c>
      <c r="U62" s="370">
        <v>40245.399999999994</v>
      </c>
      <c r="V62" s="368">
        <v>241.47239999999996</v>
      </c>
      <c r="W62" s="17"/>
      <c r="X62" s="17"/>
    </row>
    <row r="63" spans="1:24" s="18" customFormat="1" ht="46.5" thickBot="1" x14ac:dyDescent="0.3">
      <c r="A63" s="362"/>
      <c r="B63" s="363" t="s">
        <v>120</v>
      </c>
      <c r="C63" s="364">
        <v>7</v>
      </c>
      <c r="D63" s="364"/>
      <c r="E63" s="364"/>
      <c r="F63" s="364"/>
      <c r="G63" s="365">
        <v>28979.67</v>
      </c>
      <c r="H63" s="366">
        <v>56522.35</v>
      </c>
      <c r="I63" s="367">
        <v>1377.13</v>
      </c>
      <c r="J63" s="365"/>
      <c r="K63" s="365">
        <v>0</v>
      </c>
      <c r="L63" s="365">
        <v>0</v>
      </c>
      <c r="M63" s="365">
        <v>0</v>
      </c>
      <c r="N63" s="365">
        <v>0</v>
      </c>
      <c r="O63" s="365">
        <v>0</v>
      </c>
      <c r="P63" s="365">
        <v>3528.46</v>
      </c>
      <c r="Q63" s="365">
        <v>911.46</v>
      </c>
      <c r="R63" s="365">
        <v>0</v>
      </c>
      <c r="S63" s="366">
        <v>0</v>
      </c>
      <c r="T63" s="369">
        <v>0</v>
      </c>
      <c r="U63" s="370">
        <v>62339.399999999994</v>
      </c>
      <c r="V63" s="368">
        <v>374.03639999999996</v>
      </c>
      <c r="W63" s="17"/>
      <c r="X63" s="17"/>
    </row>
    <row r="64" spans="1:24" s="18" customFormat="1" ht="16.5" thickBot="1" x14ac:dyDescent="0.3">
      <c r="A64" s="362"/>
      <c r="B64" s="441" t="s">
        <v>48</v>
      </c>
      <c r="C64" s="364"/>
      <c r="D64" s="364"/>
      <c r="E64" s="364"/>
      <c r="F64" s="364"/>
      <c r="G64" s="365"/>
      <c r="H64" s="366"/>
      <c r="I64" s="367"/>
      <c r="J64" s="442"/>
      <c r="K64" s="442"/>
      <c r="L64" s="442"/>
      <c r="M64" s="442"/>
      <c r="N64" s="442"/>
      <c r="O64" s="442"/>
      <c r="P64" s="442"/>
      <c r="Q64" s="442"/>
      <c r="R64" s="442"/>
      <c r="S64" s="443"/>
      <c r="T64" s="444"/>
      <c r="U64" s="445"/>
      <c r="V64" s="368"/>
      <c r="W64" s="17"/>
      <c r="X64" s="17"/>
    </row>
    <row r="65" spans="1:24" s="15" customFormat="1" ht="16.5" thickBot="1" x14ac:dyDescent="0.3">
      <c r="A65" s="385">
        <v>35</v>
      </c>
      <c r="B65" s="386" t="s">
        <v>49</v>
      </c>
      <c r="C65" s="387">
        <v>1</v>
      </c>
      <c r="D65" s="387">
        <v>1.8</v>
      </c>
      <c r="E65" s="387"/>
      <c r="F65" s="387"/>
      <c r="G65" s="61">
        <v>10329</v>
      </c>
      <c r="H65" s="390">
        <v>10329</v>
      </c>
      <c r="I65" s="391"/>
      <c r="J65" s="392"/>
      <c r="K65" s="389">
        <v>0</v>
      </c>
      <c r="L65" s="393"/>
      <c r="M65" s="393"/>
      <c r="N65" s="393"/>
      <c r="O65" s="393"/>
      <c r="P65" s="393"/>
      <c r="Q65" s="393"/>
      <c r="R65" s="393"/>
      <c r="S65" s="394"/>
      <c r="T65" s="395"/>
      <c r="U65" s="396">
        <v>10329</v>
      </c>
      <c r="V65" s="397">
        <v>61.973999999999997</v>
      </c>
      <c r="W65" s="14"/>
      <c r="X65" s="14"/>
    </row>
    <row r="66" spans="1:24" s="18" customFormat="1" ht="24" thickBot="1" x14ac:dyDescent="0.3">
      <c r="A66" s="398"/>
      <c r="B66" s="399" t="s">
        <v>121</v>
      </c>
      <c r="C66" s="400">
        <v>1</v>
      </c>
      <c r="D66" s="400"/>
      <c r="E66" s="400"/>
      <c r="F66" s="400"/>
      <c r="G66" s="401">
        <v>10329</v>
      </c>
      <c r="H66" s="402">
        <v>10329</v>
      </c>
      <c r="I66" s="367">
        <v>0</v>
      </c>
      <c r="J66" s="442"/>
      <c r="K66" s="365">
        <v>0</v>
      </c>
      <c r="L66" s="365">
        <v>0</v>
      </c>
      <c r="M66" s="365">
        <v>0</v>
      </c>
      <c r="N66" s="365">
        <v>0</v>
      </c>
      <c r="O66" s="365">
        <v>0</v>
      </c>
      <c r="P66" s="365">
        <v>0</v>
      </c>
      <c r="Q66" s="365">
        <v>0</v>
      </c>
      <c r="R66" s="365">
        <v>0</v>
      </c>
      <c r="S66" s="368">
        <v>0</v>
      </c>
      <c r="T66" s="369"/>
      <c r="U66" s="370">
        <v>10329</v>
      </c>
      <c r="V66" s="368">
        <v>61.973999999999997</v>
      </c>
      <c r="W66" s="17"/>
      <c r="X66" s="17"/>
    </row>
    <row r="67" spans="1:24" s="15" customFormat="1" ht="34.5" x14ac:dyDescent="0.25">
      <c r="A67" s="298">
        <v>36</v>
      </c>
      <c r="B67" s="299" t="s">
        <v>122</v>
      </c>
      <c r="C67" s="300">
        <v>1</v>
      </c>
      <c r="D67" s="300" t="s">
        <v>123</v>
      </c>
      <c r="E67" s="300">
        <v>1.54</v>
      </c>
      <c r="F67" s="446">
        <v>53.17</v>
      </c>
      <c r="G67" s="301">
        <v>8836.85</v>
      </c>
      <c r="H67" s="302">
        <v>8836.85</v>
      </c>
      <c r="I67" s="425">
        <v>353.47</v>
      </c>
      <c r="J67" s="422"/>
      <c r="K67" s="301">
        <v>0</v>
      </c>
      <c r="L67" s="423"/>
      <c r="M67" s="423"/>
      <c r="N67" s="423"/>
      <c r="O67" s="423"/>
      <c r="P67" s="423"/>
      <c r="Q67" s="423"/>
      <c r="R67" s="423"/>
      <c r="S67" s="447"/>
      <c r="T67" s="448"/>
      <c r="U67" s="421">
        <v>9190.32</v>
      </c>
      <c r="V67" s="302">
        <v>55.141919999999999</v>
      </c>
      <c r="W67" s="14"/>
      <c r="X67" s="14"/>
    </row>
    <row r="68" spans="1:24" s="15" customFormat="1" ht="34.5" x14ac:dyDescent="0.25">
      <c r="A68" s="16">
        <v>37</v>
      </c>
      <c r="B68" s="310" t="s">
        <v>51</v>
      </c>
      <c r="C68" s="60">
        <v>1</v>
      </c>
      <c r="D68" s="60" t="s">
        <v>115</v>
      </c>
      <c r="E68" s="60">
        <v>1.35</v>
      </c>
      <c r="F68" s="66">
        <v>46.61</v>
      </c>
      <c r="G68" s="61">
        <v>7746.58</v>
      </c>
      <c r="H68" s="311">
        <v>7746.58</v>
      </c>
      <c r="I68" s="357">
        <v>309.86</v>
      </c>
      <c r="J68" s="64"/>
      <c r="K68" s="61">
        <v>0</v>
      </c>
      <c r="L68" s="63"/>
      <c r="M68" s="63"/>
      <c r="N68" s="63"/>
      <c r="O68" s="63"/>
      <c r="P68" s="63"/>
      <c r="Q68" s="63"/>
      <c r="R68" s="63"/>
      <c r="S68" s="358"/>
      <c r="T68" s="359"/>
      <c r="U68" s="312">
        <v>8056.44</v>
      </c>
      <c r="V68" s="311">
        <v>48.338639999999998</v>
      </c>
      <c r="W68" s="14"/>
      <c r="X68" s="14"/>
    </row>
    <row r="69" spans="1:24" s="15" customFormat="1" ht="34.9" customHeight="1" thickBot="1" x14ac:dyDescent="0.3">
      <c r="A69" s="33">
        <v>38</v>
      </c>
      <c r="B69" s="319" t="s">
        <v>50</v>
      </c>
      <c r="C69" s="320">
        <v>3</v>
      </c>
      <c r="D69" s="320" t="s">
        <v>123</v>
      </c>
      <c r="E69" s="320">
        <v>1.54</v>
      </c>
      <c r="F69" s="449">
        <v>53.17</v>
      </c>
      <c r="G69" s="321">
        <v>8836.85</v>
      </c>
      <c r="H69" s="322">
        <v>26510.550000000003</v>
      </c>
      <c r="I69" s="436">
        <v>1060.42</v>
      </c>
      <c r="J69" s="433"/>
      <c r="K69" s="321">
        <v>0</v>
      </c>
      <c r="L69" s="434"/>
      <c r="M69" s="434"/>
      <c r="N69" s="434"/>
      <c r="O69" s="434"/>
      <c r="P69" s="434"/>
      <c r="Q69" s="434"/>
      <c r="R69" s="434"/>
      <c r="S69" s="450"/>
      <c r="T69" s="451"/>
      <c r="U69" s="432">
        <v>27570.97</v>
      </c>
      <c r="V69" s="322">
        <v>165.42582000000002</v>
      </c>
      <c r="W69" s="14"/>
      <c r="X69" s="14"/>
    </row>
    <row r="70" spans="1:24" s="15" customFormat="1" ht="34.5" x14ac:dyDescent="0.25">
      <c r="A70" s="298">
        <v>39</v>
      </c>
      <c r="B70" s="299" t="s">
        <v>52</v>
      </c>
      <c r="C70" s="300">
        <v>1</v>
      </c>
      <c r="D70" s="300" t="s">
        <v>123</v>
      </c>
      <c r="E70" s="300">
        <v>1.54</v>
      </c>
      <c r="F70" s="446">
        <v>53.17</v>
      </c>
      <c r="G70" s="301">
        <v>8836.85</v>
      </c>
      <c r="H70" s="302">
        <v>8836.85</v>
      </c>
      <c r="I70" s="354">
        <v>353.47</v>
      </c>
      <c r="J70" s="349"/>
      <c r="K70" s="350">
        <v>0</v>
      </c>
      <c r="L70" s="351"/>
      <c r="M70" s="351"/>
      <c r="N70" s="351"/>
      <c r="O70" s="351"/>
      <c r="P70" s="350">
        <v>905.66</v>
      </c>
      <c r="Q70" s="350">
        <v>233.95</v>
      </c>
      <c r="R70" s="351"/>
      <c r="S70" s="352"/>
      <c r="T70" s="448"/>
      <c r="U70" s="421">
        <v>10329.93</v>
      </c>
      <c r="V70" s="302">
        <v>61.979579999999999</v>
      </c>
      <c r="W70" s="14"/>
      <c r="X70" s="14"/>
    </row>
    <row r="71" spans="1:24" s="15" customFormat="1" ht="34.5" x14ac:dyDescent="0.25">
      <c r="A71" s="16">
        <v>40</v>
      </c>
      <c r="B71" s="310" t="s">
        <v>50</v>
      </c>
      <c r="C71" s="60">
        <v>2</v>
      </c>
      <c r="D71" s="60" t="s">
        <v>70</v>
      </c>
      <c r="E71" s="60">
        <v>1.2</v>
      </c>
      <c r="F71" s="66">
        <v>41.43</v>
      </c>
      <c r="G71" s="61">
        <v>6885.67</v>
      </c>
      <c r="H71" s="311">
        <v>13771.34</v>
      </c>
      <c r="I71" s="312">
        <v>550.85</v>
      </c>
      <c r="J71" s="64"/>
      <c r="K71" s="61">
        <v>0</v>
      </c>
      <c r="L71" s="63"/>
      <c r="M71" s="63"/>
      <c r="N71" s="63"/>
      <c r="O71" s="63"/>
      <c r="P71" s="61">
        <v>1411.38</v>
      </c>
      <c r="Q71" s="61">
        <v>364.58</v>
      </c>
      <c r="R71" s="63"/>
      <c r="S71" s="358"/>
      <c r="T71" s="359"/>
      <c r="U71" s="312">
        <v>16098.15</v>
      </c>
      <c r="V71" s="311">
        <v>96.588899999999995</v>
      </c>
      <c r="W71" s="14"/>
      <c r="X71" s="14"/>
    </row>
    <row r="72" spans="1:24" s="15" customFormat="1" ht="35.450000000000003" customHeight="1" thickBot="1" x14ac:dyDescent="0.3">
      <c r="A72" s="33">
        <v>41</v>
      </c>
      <c r="B72" s="319" t="s">
        <v>124</v>
      </c>
      <c r="C72" s="320">
        <v>2</v>
      </c>
      <c r="D72" s="320" t="s">
        <v>115</v>
      </c>
      <c r="E72" s="320">
        <v>1.35</v>
      </c>
      <c r="F72" s="449">
        <v>46.61</v>
      </c>
      <c r="G72" s="321">
        <v>7746.58</v>
      </c>
      <c r="H72" s="322">
        <v>15493.16</v>
      </c>
      <c r="I72" s="312">
        <v>619.73</v>
      </c>
      <c r="J72" s="433"/>
      <c r="K72" s="321">
        <v>0</v>
      </c>
      <c r="L72" s="434"/>
      <c r="M72" s="434"/>
      <c r="N72" s="434"/>
      <c r="O72" s="434"/>
      <c r="P72" s="61">
        <v>1587.85</v>
      </c>
      <c r="Q72" s="61">
        <v>410.17</v>
      </c>
      <c r="R72" s="434"/>
      <c r="S72" s="450"/>
      <c r="T72" s="451"/>
      <c r="U72" s="432">
        <v>18110.909999999996</v>
      </c>
      <c r="V72" s="322">
        <v>108.66545999999998</v>
      </c>
      <c r="W72" s="14"/>
      <c r="X72" s="14"/>
    </row>
    <row r="73" spans="1:24" s="18" customFormat="1" ht="24" thickBot="1" x14ac:dyDescent="0.3">
      <c r="A73" s="318"/>
      <c r="B73" s="363" t="s">
        <v>125</v>
      </c>
      <c r="C73" s="364">
        <v>10</v>
      </c>
      <c r="D73" s="364"/>
      <c r="E73" s="364"/>
      <c r="F73" s="364"/>
      <c r="G73" s="365">
        <v>48889.38</v>
      </c>
      <c r="H73" s="368">
        <v>81195.33</v>
      </c>
      <c r="I73" s="370">
        <v>3247.8</v>
      </c>
      <c r="J73" s="365"/>
      <c r="K73" s="365">
        <v>0</v>
      </c>
      <c r="L73" s="365">
        <v>0</v>
      </c>
      <c r="M73" s="365">
        <v>0</v>
      </c>
      <c r="N73" s="365">
        <v>0</v>
      </c>
      <c r="O73" s="365">
        <v>0</v>
      </c>
      <c r="P73" s="365">
        <v>3904.89</v>
      </c>
      <c r="Q73" s="365">
        <v>1008.7</v>
      </c>
      <c r="R73" s="365">
        <v>0</v>
      </c>
      <c r="S73" s="366">
        <v>0</v>
      </c>
      <c r="T73" s="369">
        <v>0</v>
      </c>
      <c r="U73" s="367">
        <v>89356.72</v>
      </c>
      <c r="V73" s="368">
        <v>536.14031999999997</v>
      </c>
      <c r="W73" s="17"/>
      <c r="X73" s="17"/>
    </row>
    <row r="74" spans="1:24" s="18" customFormat="1" ht="16.5" thickBot="1" x14ac:dyDescent="0.3">
      <c r="A74" s="362"/>
      <c r="B74" s="363" t="s">
        <v>126</v>
      </c>
      <c r="C74" s="364">
        <v>11</v>
      </c>
      <c r="D74" s="364"/>
      <c r="E74" s="364"/>
      <c r="F74" s="364"/>
      <c r="G74" s="365">
        <v>59218.38</v>
      </c>
      <c r="H74" s="368">
        <v>91524.33</v>
      </c>
      <c r="I74" s="370">
        <v>3247.8</v>
      </c>
      <c r="J74" s="365"/>
      <c r="K74" s="365">
        <v>0</v>
      </c>
      <c r="L74" s="365">
        <v>0</v>
      </c>
      <c r="M74" s="365">
        <v>0</v>
      </c>
      <c r="N74" s="365">
        <v>0</v>
      </c>
      <c r="O74" s="365">
        <v>0</v>
      </c>
      <c r="P74" s="365">
        <v>3904.89</v>
      </c>
      <c r="Q74" s="365">
        <v>1008.7</v>
      </c>
      <c r="R74" s="365">
        <v>0</v>
      </c>
      <c r="S74" s="366">
        <v>0</v>
      </c>
      <c r="T74" s="369">
        <v>0</v>
      </c>
      <c r="U74" s="367">
        <v>99685.72</v>
      </c>
      <c r="V74" s="368">
        <v>598.11432000000002</v>
      </c>
      <c r="W74" s="17"/>
      <c r="X74" s="17"/>
    </row>
    <row r="75" spans="1:24" s="18" customFormat="1" ht="26.45" customHeight="1" thickBot="1" x14ac:dyDescent="0.3">
      <c r="A75" s="362"/>
      <c r="B75" s="452" t="s">
        <v>40</v>
      </c>
      <c r="C75" s="400"/>
      <c r="D75" s="400"/>
      <c r="E75" s="400"/>
      <c r="F75" s="400"/>
      <c r="G75" s="401"/>
      <c r="H75" s="404"/>
      <c r="I75" s="367"/>
      <c r="J75" s="442"/>
      <c r="K75" s="442"/>
      <c r="L75" s="442"/>
      <c r="M75" s="442"/>
      <c r="N75" s="442"/>
      <c r="O75" s="442"/>
      <c r="P75" s="442"/>
      <c r="Q75" s="442"/>
      <c r="R75" s="442"/>
      <c r="S75" s="443"/>
      <c r="T75" s="444"/>
      <c r="U75" s="445"/>
      <c r="V75" s="368"/>
      <c r="W75" s="17"/>
      <c r="X75" s="17"/>
    </row>
    <row r="76" spans="1:24" s="15" customFormat="1" ht="23.25" x14ac:dyDescent="0.25">
      <c r="A76" s="34">
        <v>42</v>
      </c>
      <c r="B76" s="299" t="s">
        <v>127</v>
      </c>
      <c r="C76" s="300">
        <v>1</v>
      </c>
      <c r="D76" s="300">
        <v>2.4</v>
      </c>
      <c r="E76" s="300"/>
      <c r="F76" s="300"/>
      <c r="G76" s="301">
        <v>13773</v>
      </c>
      <c r="H76" s="302">
        <v>13773</v>
      </c>
      <c r="I76" s="354"/>
      <c r="J76" s="349"/>
      <c r="K76" s="350">
        <v>0</v>
      </c>
      <c r="L76" s="351"/>
      <c r="M76" s="351"/>
      <c r="N76" s="351"/>
      <c r="O76" s="351"/>
      <c r="P76" s="351"/>
      <c r="Q76" s="351"/>
      <c r="R76" s="351"/>
      <c r="S76" s="352"/>
      <c r="T76" s="427"/>
      <c r="U76" s="354">
        <v>13773</v>
      </c>
      <c r="V76" s="427">
        <v>82.638000000000005</v>
      </c>
      <c r="W76" s="14"/>
      <c r="X76" s="14"/>
    </row>
    <row r="77" spans="1:24" s="15" customFormat="1" ht="23.25" x14ac:dyDescent="0.25">
      <c r="A77" s="34">
        <v>43</v>
      </c>
      <c r="B77" s="426" t="s">
        <v>254</v>
      </c>
      <c r="C77" s="346">
        <v>1</v>
      </c>
      <c r="D77" s="346">
        <v>2</v>
      </c>
      <c r="E77" s="346"/>
      <c r="F77" s="346"/>
      <c r="G77" s="61">
        <v>11477</v>
      </c>
      <c r="H77" s="311">
        <v>11477</v>
      </c>
      <c r="I77" s="354"/>
      <c r="J77" s="349"/>
      <c r="K77" s="350"/>
      <c r="L77" s="351"/>
      <c r="M77" s="351"/>
      <c r="N77" s="351"/>
      <c r="O77" s="351"/>
      <c r="P77" s="351"/>
      <c r="Q77" s="351"/>
      <c r="R77" s="351"/>
      <c r="S77" s="352"/>
      <c r="T77" s="453"/>
      <c r="U77" s="312">
        <v>11477</v>
      </c>
      <c r="V77" s="311">
        <v>68.861999999999995</v>
      </c>
      <c r="W77" s="14"/>
      <c r="X77" s="14"/>
    </row>
    <row r="78" spans="1:24" s="15" customFormat="1" ht="34.5" x14ac:dyDescent="0.25">
      <c r="A78" s="16">
        <v>44</v>
      </c>
      <c r="B78" s="310" t="s">
        <v>41</v>
      </c>
      <c r="C78" s="60">
        <v>1</v>
      </c>
      <c r="D78" s="60">
        <v>1.9</v>
      </c>
      <c r="E78" s="60"/>
      <c r="F78" s="60"/>
      <c r="G78" s="61">
        <v>10903</v>
      </c>
      <c r="H78" s="311">
        <v>10903</v>
      </c>
      <c r="I78" s="312"/>
      <c r="J78" s="64"/>
      <c r="K78" s="61">
        <v>0</v>
      </c>
      <c r="L78" s="63"/>
      <c r="M78" s="63"/>
      <c r="N78" s="63"/>
      <c r="O78" s="63"/>
      <c r="P78" s="63"/>
      <c r="Q78" s="63"/>
      <c r="R78" s="63"/>
      <c r="S78" s="358"/>
      <c r="T78" s="359"/>
      <c r="U78" s="312">
        <v>10903</v>
      </c>
      <c r="V78" s="311">
        <v>65.418000000000006</v>
      </c>
      <c r="W78" s="14"/>
      <c r="X78" s="14"/>
    </row>
    <row r="79" spans="1:24" s="15" customFormat="1" ht="40.15" customHeight="1" x14ac:dyDescent="0.25">
      <c r="A79" s="16">
        <v>45</v>
      </c>
      <c r="B79" s="310" t="s">
        <v>42</v>
      </c>
      <c r="C79" s="60">
        <v>1</v>
      </c>
      <c r="D79" s="65">
        <v>1.8</v>
      </c>
      <c r="E79" s="60"/>
      <c r="F79" s="60"/>
      <c r="G79" s="61">
        <v>10329</v>
      </c>
      <c r="H79" s="311">
        <v>10329</v>
      </c>
      <c r="I79" s="312"/>
      <c r="J79" s="64"/>
      <c r="K79" s="61">
        <v>0</v>
      </c>
      <c r="L79" s="63"/>
      <c r="M79" s="63"/>
      <c r="N79" s="63"/>
      <c r="O79" s="63"/>
      <c r="P79" s="63"/>
      <c r="Q79" s="63"/>
      <c r="R79" s="63"/>
      <c r="S79" s="358"/>
      <c r="T79" s="359"/>
      <c r="U79" s="312">
        <v>10329</v>
      </c>
      <c r="V79" s="311">
        <v>61.973999999999997</v>
      </c>
      <c r="W79" s="14"/>
      <c r="X79" s="14"/>
    </row>
    <row r="80" spans="1:24" s="15" customFormat="1" x14ac:dyDescent="0.25">
      <c r="A80" s="371">
        <v>46</v>
      </c>
      <c r="B80" s="310" t="s">
        <v>43</v>
      </c>
      <c r="C80" s="60">
        <v>1</v>
      </c>
      <c r="D80" s="65">
        <v>1.8</v>
      </c>
      <c r="E80" s="60"/>
      <c r="F80" s="60"/>
      <c r="G80" s="61">
        <v>10329</v>
      </c>
      <c r="H80" s="311">
        <v>10329</v>
      </c>
      <c r="I80" s="454"/>
      <c r="J80" s="376"/>
      <c r="K80" s="377">
        <v>0</v>
      </c>
      <c r="L80" s="378"/>
      <c r="M80" s="378"/>
      <c r="N80" s="378"/>
      <c r="O80" s="378"/>
      <c r="P80" s="378"/>
      <c r="Q80" s="378"/>
      <c r="R80" s="378"/>
      <c r="S80" s="379"/>
      <c r="T80" s="380"/>
      <c r="U80" s="454">
        <v>10329</v>
      </c>
      <c r="V80" s="311">
        <v>61.973999999999997</v>
      </c>
      <c r="W80" s="14"/>
      <c r="X80" s="14"/>
    </row>
    <row r="81" spans="1:24" s="15" customFormat="1" ht="16.5" thickBot="1" x14ac:dyDescent="0.3">
      <c r="A81" s="33">
        <v>47</v>
      </c>
      <c r="B81" s="319" t="s">
        <v>44</v>
      </c>
      <c r="C81" s="320">
        <v>0.5</v>
      </c>
      <c r="D81" s="320">
        <v>1.37</v>
      </c>
      <c r="E81" s="320"/>
      <c r="F81" s="320"/>
      <c r="G81" s="321">
        <v>7862</v>
      </c>
      <c r="H81" s="322">
        <v>3931</v>
      </c>
      <c r="I81" s="432"/>
      <c r="J81" s="433"/>
      <c r="K81" s="321">
        <v>0</v>
      </c>
      <c r="L81" s="434"/>
      <c r="M81" s="434"/>
      <c r="N81" s="434"/>
      <c r="O81" s="434"/>
      <c r="P81" s="434"/>
      <c r="Q81" s="434"/>
      <c r="R81" s="434"/>
      <c r="S81" s="435"/>
      <c r="T81" s="451"/>
      <c r="U81" s="432">
        <v>3931</v>
      </c>
      <c r="V81" s="311">
        <v>23.585999999999999</v>
      </c>
      <c r="W81" s="14"/>
      <c r="X81" s="14"/>
    </row>
    <row r="82" spans="1:24" s="18" customFormat="1" ht="24" thickBot="1" x14ac:dyDescent="0.3">
      <c r="A82" s="362"/>
      <c r="B82" s="455" t="s">
        <v>128</v>
      </c>
      <c r="C82" s="456">
        <v>5.5</v>
      </c>
      <c r="D82" s="457"/>
      <c r="E82" s="457"/>
      <c r="F82" s="457"/>
      <c r="G82" s="325">
        <v>64673</v>
      </c>
      <c r="H82" s="458">
        <v>60742</v>
      </c>
      <c r="I82" s="370">
        <v>0</v>
      </c>
      <c r="J82" s="365"/>
      <c r="K82" s="365">
        <v>0</v>
      </c>
      <c r="L82" s="365">
        <v>0</v>
      </c>
      <c r="M82" s="365">
        <v>0</v>
      </c>
      <c r="N82" s="365">
        <v>0</v>
      </c>
      <c r="O82" s="365">
        <v>0</v>
      </c>
      <c r="P82" s="365">
        <v>0</v>
      </c>
      <c r="Q82" s="365">
        <v>0</v>
      </c>
      <c r="R82" s="365">
        <v>0</v>
      </c>
      <c r="S82" s="366">
        <v>0</v>
      </c>
      <c r="T82" s="369">
        <v>0</v>
      </c>
      <c r="U82" s="459">
        <v>60742</v>
      </c>
      <c r="V82" s="369">
        <v>364.452</v>
      </c>
      <c r="W82" s="17"/>
      <c r="X82" s="17"/>
    </row>
    <row r="83" spans="1:24" s="18" customFormat="1" x14ac:dyDescent="0.25">
      <c r="A83" s="298"/>
      <c r="B83" s="460" t="s">
        <v>53</v>
      </c>
      <c r="C83" s="300"/>
      <c r="D83" s="300"/>
      <c r="E83" s="300"/>
      <c r="F83" s="300"/>
      <c r="G83" s="301"/>
      <c r="H83" s="461"/>
      <c r="I83" s="425"/>
      <c r="J83" s="423"/>
      <c r="K83" s="423"/>
      <c r="L83" s="423"/>
      <c r="M83" s="423"/>
      <c r="N83" s="423"/>
      <c r="O83" s="423"/>
      <c r="P83" s="423"/>
      <c r="Q83" s="423"/>
      <c r="R83" s="423"/>
      <c r="S83" s="447"/>
      <c r="T83" s="448"/>
      <c r="U83" s="462"/>
      <c r="V83" s="302"/>
      <c r="W83" s="17"/>
      <c r="X83" s="17"/>
    </row>
    <row r="84" spans="1:24" s="15" customFormat="1" ht="16.5" thickBot="1" x14ac:dyDescent="0.3">
      <c r="A84" s="33">
        <v>48</v>
      </c>
      <c r="B84" s="319" t="s">
        <v>54</v>
      </c>
      <c r="C84" s="320">
        <v>1</v>
      </c>
      <c r="D84" s="320">
        <v>1.8</v>
      </c>
      <c r="E84" s="320"/>
      <c r="F84" s="320"/>
      <c r="G84" s="61">
        <v>10329</v>
      </c>
      <c r="H84" s="463">
        <v>10329</v>
      </c>
      <c r="I84" s="436"/>
      <c r="J84" s="433"/>
      <c r="K84" s="321">
        <v>0</v>
      </c>
      <c r="L84" s="434"/>
      <c r="M84" s="434"/>
      <c r="N84" s="434"/>
      <c r="O84" s="434"/>
      <c r="P84" s="434"/>
      <c r="Q84" s="434"/>
      <c r="R84" s="434"/>
      <c r="S84" s="450"/>
      <c r="T84" s="451"/>
      <c r="U84" s="432">
        <v>10329</v>
      </c>
      <c r="V84" s="311">
        <v>61.973999999999997</v>
      </c>
      <c r="W84" s="14"/>
      <c r="X84" s="14"/>
    </row>
    <row r="85" spans="1:24" s="18" customFormat="1" ht="24" thickBot="1" x14ac:dyDescent="0.3">
      <c r="A85" s="362"/>
      <c r="B85" s="399" t="s">
        <v>129</v>
      </c>
      <c r="C85" s="400">
        <v>1</v>
      </c>
      <c r="D85" s="400"/>
      <c r="E85" s="400"/>
      <c r="F85" s="400"/>
      <c r="G85" s="401">
        <v>10329</v>
      </c>
      <c r="H85" s="402">
        <v>10329</v>
      </c>
      <c r="I85" s="367">
        <v>0</v>
      </c>
      <c r="J85" s="365"/>
      <c r="K85" s="365">
        <v>0</v>
      </c>
      <c r="L85" s="365">
        <v>0</v>
      </c>
      <c r="M85" s="365">
        <v>0</v>
      </c>
      <c r="N85" s="365">
        <v>0</v>
      </c>
      <c r="O85" s="365">
        <v>0</v>
      </c>
      <c r="P85" s="365">
        <v>0</v>
      </c>
      <c r="Q85" s="365">
        <v>0</v>
      </c>
      <c r="R85" s="365">
        <v>0</v>
      </c>
      <c r="S85" s="368">
        <v>0</v>
      </c>
      <c r="T85" s="369"/>
      <c r="U85" s="370">
        <v>10329</v>
      </c>
      <c r="V85" s="368">
        <v>61.973999999999997</v>
      </c>
      <c r="W85" s="17"/>
      <c r="X85" s="17"/>
    </row>
    <row r="86" spans="1:24" s="15" customFormat="1" x14ac:dyDescent="0.25">
      <c r="A86" s="34">
        <v>49</v>
      </c>
      <c r="B86" s="299" t="s">
        <v>55</v>
      </c>
      <c r="C86" s="300">
        <v>1</v>
      </c>
      <c r="D86" s="300" t="s">
        <v>115</v>
      </c>
      <c r="E86" s="300">
        <v>1.35</v>
      </c>
      <c r="F86" s="446">
        <v>46.61</v>
      </c>
      <c r="G86" s="301">
        <v>7746.58</v>
      </c>
      <c r="H86" s="302">
        <v>7746.58</v>
      </c>
      <c r="I86" s="354">
        <v>619.73</v>
      </c>
      <c r="J86" s="349"/>
      <c r="K86" s="350">
        <v>0</v>
      </c>
      <c r="L86" s="351"/>
      <c r="M86" s="351"/>
      <c r="N86" s="351"/>
      <c r="O86" s="351"/>
      <c r="P86" s="351"/>
      <c r="Q86" s="351"/>
      <c r="R86" s="351"/>
      <c r="S86" s="352"/>
      <c r="T86" s="353"/>
      <c r="U86" s="354">
        <v>8366.31</v>
      </c>
      <c r="V86" s="311">
        <v>50.197859999999999</v>
      </c>
      <c r="W86" s="14"/>
      <c r="X86" s="14"/>
    </row>
    <row r="87" spans="1:24" s="15" customFormat="1" ht="16.5" thickBot="1" x14ac:dyDescent="0.3">
      <c r="A87" s="371">
        <v>50</v>
      </c>
      <c r="B87" s="319" t="s">
        <v>56</v>
      </c>
      <c r="C87" s="320">
        <v>1</v>
      </c>
      <c r="D87" s="320" t="s">
        <v>115</v>
      </c>
      <c r="E87" s="320">
        <v>1.35</v>
      </c>
      <c r="F87" s="449">
        <v>46.61</v>
      </c>
      <c r="G87" s="321">
        <v>7746.58</v>
      </c>
      <c r="H87" s="322">
        <v>7746.58</v>
      </c>
      <c r="I87" s="354">
        <v>619.73</v>
      </c>
      <c r="J87" s="376"/>
      <c r="K87" s="377">
        <v>0</v>
      </c>
      <c r="L87" s="378"/>
      <c r="M87" s="378"/>
      <c r="N87" s="378"/>
      <c r="O87" s="378"/>
      <c r="P87" s="378"/>
      <c r="Q87" s="378"/>
      <c r="R87" s="378"/>
      <c r="S87" s="379"/>
      <c r="T87" s="380"/>
      <c r="U87" s="454">
        <v>8366.31</v>
      </c>
      <c r="V87" s="311">
        <v>50.197859999999999</v>
      </c>
      <c r="W87" s="14"/>
      <c r="X87" s="14"/>
    </row>
    <row r="88" spans="1:24" s="18" customFormat="1" ht="24" thickBot="1" x14ac:dyDescent="0.3">
      <c r="A88" s="362"/>
      <c r="B88" s="455" t="s">
        <v>130</v>
      </c>
      <c r="C88" s="457">
        <v>2</v>
      </c>
      <c r="D88" s="457"/>
      <c r="E88" s="457"/>
      <c r="F88" s="457"/>
      <c r="G88" s="325">
        <v>15493.16</v>
      </c>
      <c r="H88" s="458">
        <v>15493.16</v>
      </c>
      <c r="I88" s="370">
        <v>1239.46</v>
      </c>
      <c r="J88" s="365"/>
      <c r="K88" s="365">
        <v>0</v>
      </c>
      <c r="L88" s="365">
        <v>0</v>
      </c>
      <c r="M88" s="365">
        <v>0</v>
      </c>
      <c r="N88" s="365">
        <v>0</v>
      </c>
      <c r="O88" s="365">
        <v>0</v>
      </c>
      <c r="P88" s="365">
        <v>0</v>
      </c>
      <c r="Q88" s="365">
        <v>0</v>
      </c>
      <c r="R88" s="365">
        <v>0</v>
      </c>
      <c r="S88" s="366">
        <v>0</v>
      </c>
      <c r="T88" s="369">
        <v>0</v>
      </c>
      <c r="U88" s="370">
        <v>16732.62</v>
      </c>
      <c r="V88" s="368">
        <v>100.39572</v>
      </c>
      <c r="W88" s="17"/>
      <c r="X88" s="17"/>
    </row>
    <row r="89" spans="1:24" s="18" customFormat="1" ht="16.5" thickBot="1" x14ac:dyDescent="0.3">
      <c r="A89" s="362"/>
      <c r="B89" s="363" t="s">
        <v>131</v>
      </c>
      <c r="C89" s="364">
        <v>3</v>
      </c>
      <c r="D89" s="364"/>
      <c r="E89" s="364"/>
      <c r="F89" s="364"/>
      <c r="G89" s="365">
        <v>25822.16</v>
      </c>
      <c r="H89" s="368">
        <v>25822.16</v>
      </c>
      <c r="I89" s="370">
        <v>1239.46</v>
      </c>
      <c r="J89" s="365"/>
      <c r="K89" s="365">
        <v>0</v>
      </c>
      <c r="L89" s="365">
        <v>0</v>
      </c>
      <c r="M89" s="365">
        <v>0</v>
      </c>
      <c r="N89" s="365">
        <v>0</v>
      </c>
      <c r="O89" s="365">
        <v>0</v>
      </c>
      <c r="P89" s="365">
        <v>0</v>
      </c>
      <c r="Q89" s="365">
        <v>0</v>
      </c>
      <c r="R89" s="365">
        <v>0</v>
      </c>
      <c r="S89" s="366">
        <v>0</v>
      </c>
      <c r="T89" s="369">
        <v>0</v>
      </c>
      <c r="U89" s="370">
        <v>27061.62</v>
      </c>
      <c r="V89" s="368">
        <v>162.36972</v>
      </c>
      <c r="W89" s="17"/>
      <c r="X89" s="17"/>
    </row>
    <row r="90" spans="1:24" s="39" customFormat="1" ht="35.25" thickBot="1" x14ac:dyDescent="0.3">
      <c r="A90" s="331"/>
      <c r="B90" s="407" t="s">
        <v>132</v>
      </c>
      <c r="C90" s="464">
        <v>15</v>
      </c>
      <c r="D90" s="464"/>
      <c r="E90" s="464"/>
      <c r="F90" s="464"/>
      <c r="G90" s="336">
        <v>177434</v>
      </c>
      <c r="H90" s="337">
        <v>169199</v>
      </c>
      <c r="I90" s="409">
        <v>0</v>
      </c>
      <c r="J90" s="336"/>
      <c r="K90" s="336">
        <v>0</v>
      </c>
      <c r="L90" s="336">
        <v>0</v>
      </c>
      <c r="M90" s="336">
        <v>0</v>
      </c>
      <c r="N90" s="336">
        <v>0</v>
      </c>
      <c r="O90" s="336">
        <v>0</v>
      </c>
      <c r="P90" s="336">
        <v>0</v>
      </c>
      <c r="Q90" s="336">
        <v>0</v>
      </c>
      <c r="R90" s="336">
        <v>0</v>
      </c>
      <c r="S90" s="340">
        <v>0</v>
      </c>
      <c r="T90" s="465">
        <v>0</v>
      </c>
      <c r="U90" s="409">
        <v>169199</v>
      </c>
      <c r="V90" s="337">
        <v>1015.1940000000002</v>
      </c>
      <c r="W90" s="38"/>
      <c r="X90" s="38"/>
    </row>
    <row r="91" spans="1:24" s="39" customFormat="1" ht="37.5" customHeight="1" thickBot="1" x14ac:dyDescent="0.3">
      <c r="A91" s="466"/>
      <c r="B91" s="467" t="s">
        <v>133</v>
      </c>
      <c r="C91" s="468">
        <v>17</v>
      </c>
      <c r="D91" s="468"/>
      <c r="E91" s="468"/>
      <c r="F91" s="468"/>
      <c r="G91" s="469">
        <v>71268.209999999992</v>
      </c>
      <c r="H91" s="470">
        <v>131116.84</v>
      </c>
      <c r="I91" s="471">
        <v>5864.39</v>
      </c>
      <c r="J91" s="469"/>
      <c r="K91" s="469">
        <v>0</v>
      </c>
      <c r="L91" s="469">
        <v>0</v>
      </c>
      <c r="M91" s="469">
        <v>0</v>
      </c>
      <c r="N91" s="469">
        <v>0</v>
      </c>
      <c r="O91" s="469">
        <v>0</v>
      </c>
      <c r="P91" s="469">
        <v>7433.35</v>
      </c>
      <c r="Q91" s="469">
        <v>1920.16</v>
      </c>
      <c r="R91" s="469">
        <v>0</v>
      </c>
      <c r="S91" s="472">
        <v>0</v>
      </c>
      <c r="T91" s="473">
        <v>0</v>
      </c>
      <c r="U91" s="471">
        <v>146334.74</v>
      </c>
      <c r="V91" s="470">
        <v>878.00843999999995</v>
      </c>
      <c r="W91" s="38"/>
      <c r="X91" s="38"/>
    </row>
    <row r="92" spans="1:24" s="39" customFormat="1" ht="35.25" thickBot="1" x14ac:dyDescent="0.3">
      <c r="A92" s="331"/>
      <c r="B92" s="407" t="s">
        <v>134</v>
      </c>
      <c r="C92" s="464">
        <v>32</v>
      </c>
      <c r="D92" s="464"/>
      <c r="E92" s="464"/>
      <c r="F92" s="464"/>
      <c r="G92" s="336">
        <v>248702.21</v>
      </c>
      <c r="H92" s="337">
        <v>300315.83999999997</v>
      </c>
      <c r="I92" s="409">
        <v>5864.39</v>
      </c>
      <c r="J92" s="336"/>
      <c r="K92" s="336">
        <v>0</v>
      </c>
      <c r="L92" s="336">
        <v>0</v>
      </c>
      <c r="M92" s="336">
        <v>0</v>
      </c>
      <c r="N92" s="336">
        <v>0</v>
      </c>
      <c r="O92" s="336">
        <v>0</v>
      </c>
      <c r="P92" s="336">
        <v>7433.35</v>
      </c>
      <c r="Q92" s="336">
        <v>1920.16</v>
      </c>
      <c r="R92" s="336">
        <v>0</v>
      </c>
      <c r="S92" s="340">
        <v>0</v>
      </c>
      <c r="T92" s="465">
        <v>0</v>
      </c>
      <c r="U92" s="409">
        <v>315533.74</v>
      </c>
      <c r="V92" s="337">
        <v>1893.20244</v>
      </c>
      <c r="W92" s="38"/>
      <c r="X92" s="38"/>
    </row>
    <row r="93" spans="1:24" s="39" customFormat="1" ht="16.5" thickBot="1" x14ac:dyDescent="0.3">
      <c r="A93" s="331"/>
      <c r="B93" s="643" t="s">
        <v>17</v>
      </c>
      <c r="C93" s="644"/>
      <c r="D93" s="644"/>
      <c r="E93" s="644"/>
      <c r="F93" s="644"/>
      <c r="G93" s="644"/>
      <c r="H93" s="648"/>
      <c r="I93" s="409"/>
      <c r="J93" s="341"/>
      <c r="K93" s="341"/>
      <c r="L93" s="341"/>
      <c r="M93" s="341"/>
      <c r="N93" s="341"/>
      <c r="O93" s="341"/>
      <c r="P93" s="341"/>
      <c r="Q93" s="341"/>
      <c r="R93" s="341"/>
      <c r="S93" s="474"/>
      <c r="T93" s="343"/>
      <c r="U93" s="344"/>
      <c r="V93" s="337"/>
      <c r="W93" s="38"/>
      <c r="X93" s="38"/>
    </row>
    <row r="94" spans="1:24" s="15" customFormat="1" x14ac:dyDescent="0.25">
      <c r="A94" s="34">
        <v>51</v>
      </c>
      <c r="B94" s="345" t="s">
        <v>18</v>
      </c>
      <c r="C94" s="346">
        <v>1</v>
      </c>
      <c r="D94" s="346">
        <v>2.4</v>
      </c>
      <c r="E94" s="346"/>
      <c r="F94" s="346"/>
      <c r="G94" s="61">
        <v>13773</v>
      </c>
      <c r="H94" s="347">
        <v>13773</v>
      </c>
      <c r="I94" s="348"/>
      <c r="J94" s="349"/>
      <c r="K94" s="350">
        <v>0</v>
      </c>
      <c r="L94" s="351"/>
      <c r="M94" s="351"/>
      <c r="N94" s="351"/>
      <c r="O94" s="351"/>
      <c r="P94" s="351"/>
      <c r="Q94" s="351"/>
      <c r="R94" s="351"/>
      <c r="S94" s="352"/>
      <c r="T94" s="353"/>
      <c r="U94" s="354">
        <v>13773</v>
      </c>
      <c r="V94" s="311">
        <v>82.638000000000005</v>
      </c>
      <c r="W94" s="14"/>
      <c r="X94" s="14"/>
    </row>
    <row r="95" spans="1:24" s="15" customFormat="1" x14ac:dyDescent="0.25">
      <c r="A95" s="16">
        <v>52</v>
      </c>
      <c r="B95" s="310" t="s">
        <v>19</v>
      </c>
      <c r="C95" s="60">
        <v>1</v>
      </c>
      <c r="D95" s="60">
        <v>1.8</v>
      </c>
      <c r="E95" s="60"/>
      <c r="F95" s="60"/>
      <c r="G95" s="61">
        <v>10329</v>
      </c>
      <c r="H95" s="356">
        <v>10329</v>
      </c>
      <c r="I95" s="357"/>
      <c r="J95" s="64"/>
      <c r="K95" s="61">
        <v>0</v>
      </c>
      <c r="L95" s="63"/>
      <c r="M95" s="63"/>
      <c r="N95" s="63"/>
      <c r="O95" s="63"/>
      <c r="P95" s="63"/>
      <c r="Q95" s="63"/>
      <c r="R95" s="63"/>
      <c r="S95" s="352"/>
      <c r="T95" s="353"/>
      <c r="U95" s="312">
        <v>10329</v>
      </c>
      <c r="V95" s="311">
        <v>61.973999999999997</v>
      </c>
      <c r="W95" s="14"/>
      <c r="X95" s="14"/>
    </row>
    <row r="96" spans="1:24" s="15" customFormat="1" x14ac:dyDescent="0.25">
      <c r="A96" s="16">
        <v>53</v>
      </c>
      <c r="B96" s="310" t="s">
        <v>113</v>
      </c>
      <c r="C96" s="60">
        <v>2</v>
      </c>
      <c r="D96" s="65">
        <v>1.8</v>
      </c>
      <c r="E96" s="60"/>
      <c r="F96" s="60"/>
      <c r="G96" s="61">
        <v>10329</v>
      </c>
      <c r="H96" s="356">
        <v>20658</v>
      </c>
      <c r="I96" s="357"/>
      <c r="J96" s="64"/>
      <c r="K96" s="61">
        <v>0</v>
      </c>
      <c r="L96" s="63"/>
      <c r="M96" s="63"/>
      <c r="N96" s="63"/>
      <c r="O96" s="63"/>
      <c r="P96" s="63"/>
      <c r="Q96" s="61">
        <v>455.75</v>
      </c>
      <c r="R96" s="63"/>
      <c r="S96" s="427"/>
      <c r="T96" s="475"/>
      <c r="U96" s="312">
        <v>21113.75</v>
      </c>
      <c r="V96" s="311">
        <v>126.6825</v>
      </c>
      <c r="W96" s="14"/>
      <c r="X96" s="14"/>
    </row>
    <row r="97" spans="1:24" s="15" customFormat="1" ht="24" thickBot="1" x14ac:dyDescent="0.3">
      <c r="A97" s="371">
        <v>54</v>
      </c>
      <c r="B97" s="372" t="s">
        <v>135</v>
      </c>
      <c r="C97" s="373">
        <v>0.5</v>
      </c>
      <c r="D97" s="439">
        <v>1.7</v>
      </c>
      <c r="E97" s="373"/>
      <c r="F97" s="373"/>
      <c r="G97" s="61">
        <v>9756</v>
      </c>
      <c r="H97" s="374">
        <v>4878</v>
      </c>
      <c r="I97" s="375"/>
      <c r="J97" s="376"/>
      <c r="K97" s="377">
        <v>0</v>
      </c>
      <c r="L97" s="378"/>
      <c r="M97" s="378"/>
      <c r="N97" s="378"/>
      <c r="O97" s="378"/>
      <c r="P97" s="378"/>
      <c r="Q97" s="378"/>
      <c r="R97" s="378"/>
      <c r="S97" s="379"/>
      <c r="T97" s="380"/>
      <c r="U97" s="312">
        <v>4878</v>
      </c>
      <c r="V97" s="311">
        <v>29.268000000000001</v>
      </c>
      <c r="W97" s="14"/>
      <c r="X97" s="14"/>
    </row>
    <row r="98" spans="1:24" s="39" customFormat="1" ht="24" thickBot="1" x14ac:dyDescent="0.3">
      <c r="A98" s="331"/>
      <c r="B98" s="476" t="s">
        <v>136</v>
      </c>
      <c r="C98" s="477">
        <v>4.5</v>
      </c>
      <c r="D98" s="477"/>
      <c r="E98" s="477"/>
      <c r="F98" s="477"/>
      <c r="G98" s="478">
        <v>44187</v>
      </c>
      <c r="H98" s="479">
        <v>49638</v>
      </c>
      <c r="I98" s="335">
        <v>0</v>
      </c>
      <c r="J98" s="336"/>
      <c r="K98" s="336">
        <v>0</v>
      </c>
      <c r="L98" s="336">
        <v>0</v>
      </c>
      <c r="M98" s="336">
        <v>0</v>
      </c>
      <c r="N98" s="336">
        <v>0</v>
      </c>
      <c r="O98" s="336">
        <v>0</v>
      </c>
      <c r="P98" s="336">
        <v>0</v>
      </c>
      <c r="Q98" s="336">
        <v>455.75</v>
      </c>
      <c r="R98" s="336">
        <v>0</v>
      </c>
      <c r="S98" s="337">
        <v>0</v>
      </c>
      <c r="T98" s="465"/>
      <c r="U98" s="409">
        <v>50093.75</v>
      </c>
      <c r="V98" s="337">
        <v>300.5625</v>
      </c>
      <c r="W98" s="38"/>
      <c r="X98" s="38"/>
    </row>
    <row r="99" spans="1:24" s="18" customFormat="1" ht="22.5" x14ac:dyDescent="0.25">
      <c r="A99" s="34"/>
      <c r="B99" s="460" t="s">
        <v>137</v>
      </c>
      <c r="C99" s="300"/>
      <c r="D99" s="300"/>
      <c r="E99" s="300"/>
      <c r="F99" s="300"/>
      <c r="G99" s="301"/>
      <c r="H99" s="302"/>
      <c r="I99" s="425"/>
      <c r="J99" s="423"/>
      <c r="K99" s="423"/>
      <c r="L99" s="423"/>
      <c r="M99" s="423"/>
      <c r="N99" s="423"/>
      <c r="O99" s="423"/>
      <c r="P99" s="423"/>
      <c r="Q99" s="423"/>
      <c r="R99" s="423"/>
      <c r="S99" s="447"/>
      <c r="T99" s="353"/>
      <c r="U99" s="480"/>
      <c r="V99" s="427"/>
      <c r="W99" s="17"/>
      <c r="X99" s="17"/>
    </row>
    <row r="100" spans="1:24" s="15" customFormat="1" ht="23.25" x14ac:dyDescent="0.25">
      <c r="A100" s="16">
        <v>55</v>
      </c>
      <c r="B100" s="310" t="s">
        <v>20</v>
      </c>
      <c r="C100" s="60">
        <v>5</v>
      </c>
      <c r="D100" s="60" t="s">
        <v>70</v>
      </c>
      <c r="E100" s="60">
        <v>1.2</v>
      </c>
      <c r="F100" s="66">
        <v>41.43</v>
      </c>
      <c r="G100" s="61">
        <v>6885.67</v>
      </c>
      <c r="H100" s="311">
        <v>34428.35</v>
      </c>
      <c r="I100" s="348">
        <v>1377.13</v>
      </c>
      <c r="J100" s="64"/>
      <c r="K100" s="61">
        <v>0</v>
      </c>
      <c r="L100" s="63"/>
      <c r="M100" s="63"/>
      <c r="N100" s="63"/>
      <c r="O100" s="63"/>
      <c r="P100" s="61">
        <v>3920.51</v>
      </c>
      <c r="Q100" s="61">
        <v>1012.73</v>
      </c>
      <c r="R100" s="63"/>
      <c r="S100" s="358"/>
      <c r="T100" s="359"/>
      <c r="U100" s="312">
        <v>40738.720000000001</v>
      </c>
      <c r="V100" s="311">
        <v>244.43232</v>
      </c>
      <c r="W100" s="14"/>
      <c r="X100" s="14"/>
    </row>
    <row r="101" spans="1:24" s="15" customFormat="1" ht="23.25" x14ac:dyDescent="0.25">
      <c r="A101" s="16">
        <v>56</v>
      </c>
      <c r="B101" s="310" t="s">
        <v>20</v>
      </c>
      <c r="C101" s="60">
        <v>4</v>
      </c>
      <c r="D101" s="60" t="s">
        <v>70</v>
      </c>
      <c r="E101" s="60">
        <v>1.2</v>
      </c>
      <c r="F101" s="66">
        <v>41.43</v>
      </c>
      <c r="G101" s="61">
        <v>6885.67</v>
      </c>
      <c r="H101" s="311">
        <v>27542.68</v>
      </c>
      <c r="I101" s="348">
        <v>1101.71</v>
      </c>
      <c r="J101" s="64"/>
      <c r="K101" s="61">
        <v>0</v>
      </c>
      <c r="L101" s="63"/>
      <c r="M101" s="63"/>
      <c r="N101" s="63"/>
      <c r="O101" s="63"/>
      <c r="P101" s="61">
        <v>3136.4</v>
      </c>
      <c r="Q101" s="61">
        <v>810.19</v>
      </c>
      <c r="R101" s="63"/>
      <c r="S101" s="358"/>
      <c r="T101" s="359"/>
      <c r="U101" s="312">
        <v>32590.98</v>
      </c>
      <c r="V101" s="311">
        <v>195.54588000000001</v>
      </c>
      <c r="W101" s="14"/>
      <c r="X101" s="14"/>
    </row>
    <row r="102" spans="1:24" s="15" customFormat="1" ht="22.5" x14ac:dyDescent="0.25">
      <c r="A102" s="16"/>
      <c r="B102" s="481" t="s">
        <v>21</v>
      </c>
      <c r="C102" s="60"/>
      <c r="D102" s="60"/>
      <c r="E102" s="60"/>
      <c r="F102" s="66"/>
      <c r="G102" s="61"/>
      <c r="H102" s="311"/>
      <c r="I102" s="357"/>
      <c r="J102" s="64"/>
      <c r="K102" s="61"/>
      <c r="L102" s="63"/>
      <c r="M102" s="63"/>
      <c r="N102" s="63"/>
      <c r="O102" s="63"/>
      <c r="P102" s="63"/>
      <c r="Q102" s="63"/>
      <c r="R102" s="63"/>
      <c r="S102" s="358"/>
      <c r="T102" s="359"/>
      <c r="U102" s="312"/>
      <c r="V102" s="311"/>
      <c r="W102" s="14"/>
      <c r="X102" s="14"/>
    </row>
    <row r="103" spans="1:24" s="15" customFormat="1" ht="23.25" x14ac:dyDescent="0.25">
      <c r="A103" s="16">
        <v>57</v>
      </c>
      <c r="B103" s="310" t="s">
        <v>20</v>
      </c>
      <c r="C103" s="60">
        <v>6</v>
      </c>
      <c r="D103" s="60" t="s">
        <v>70</v>
      </c>
      <c r="E103" s="60">
        <v>1.2</v>
      </c>
      <c r="F103" s="66">
        <v>41.43</v>
      </c>
      <c r="G103" s="61">
        <v>6885.67</v>
      </c>
      <c r="H103" s="311">
        <v>41314.020000000004</v>
      </c>
      <c r="I103" s="348">
        <v>1652.56</v>
      </c>
      <c r="J103" s="64"/>
      <c r="K103" s="61">
        <v>0</v>
      </c>
      <c r="L103" s="63"/>
      <c r="M103" s="63"/>
      <c r="N103" s="63"/>
      <c r="O103" s="63"/>
      <c r="P103" s="61">
        <v>4234.1499999999996</v>
      </c>
      <c r="Q103" s="61">
        <v>1093.75</v>
      </c>
      <c r="R103" s="63"/>
      <c r="S103" s="358"/>
      <c r="T103" s="359"/>
      <c r="U103" s="312">
        <v>48294.48</v>
      </c>
      <c r="V103" s="311">
        <v>289.76688000000001</v>
      </c>
      <c r="W103" s="14"/>
      <c r="X103" s="14"/>
    </row>
    <row r="104" spans="1:24" s="15" customFormat="1" ht="23.25" x14ac:dyDescent="0.25">
      <c r="A104" s="16">
        <v>58</v>
      </c>
      <c r="B104" s="310" t="s">
        <v>20</v>
      </c>
      <c r="C104" s="60">
        <v>4</v>
      </c>
      <c r="D104" s="60" t="s">
        <v>138</v>
      </c>
      <c r="E104" s="60">
        <v>1.08</v>
      </c>
      <c r="F104" s="66">
        <v>37.29</v>
      </c>
      <c r="G104" s="61">
        <v>6197.6</v>
      </c>
      <c r="H104" s="311">
        <v>24790.400000000001</v>
      </c>
      <c r="I104" s="348">
        <v>991.62</v>
      </c>
      <c r="J104" s="64"/>
      <c r="K104" s="61">
        <v>0</v>
      </c>
      <c r="L104" s="63"/>
      <c r="M104" s="63"/>
      <c r="N104" s="63"/>
      <c r="O104" s="63"/>
      <c r="P104" s="61">
        <v>2540.69</v>
      </c>
      <c r="Q104" s="61">
        <v>656.3</v>
      </c>
      <c r="R104" s="63"/>
      <c r="S104" s="358"/>
      <c r="T104" s="359"/>
      <c r="U104" s="312">
        <v>28979.01</v>
      </c>
      <c r="V104" s="311">
        <v>173.87405999999999</v>
      </c>
      <c r="W104" s="14"/>
      <c r="X104" s="14"/>
    </row>
    <row r="105" spans="1:24" s="15" customFormat="1" ht="22.5" x14ac:dyDescent="0.25">
      <c r="A105" s="16"/>
      <c r="B105" s="481" t="s">
        <v>255</v>
      </c>
      <c r="C105" s="60"/>
      <c r="D105" s="60"/>
      <c r="E105" s="60"/>
      <c r="F105" s="66"/>
      <c r="G105" s="61"/>
      <c r="H105" s="311"/>
      <c r="I105" s="357"/>
      <c r="J105" s="64"/>
      <c r="K105" s="61"/>
      <c r="L105" s="63"/>
      <c r="M105" s="63"/>
      <c r="N105" s="63"/>
      <c r="O105" s="63"/>
      <c r="P105" s="63"/>
      <c r="Q105" s="63"/>
      <c r="R105" s="63"/>
      <c r="S105" s="358"/>
      <c r="T105" s="359"/>
      <c r="U105" s="312"/>
      <c r="V105" s="311"/>
      <c r="W105" s="14"/>
      <c r="X105" s="14"/>
    </row>
    <row r="106" spans="1:24" s="15" customFormat="1" ht="23.25" x14ac:dyDescent="0.25">
      <c r="A106" s="16">
        <v>59</v>
      </c>
      <c r="B106" s="310" t="s">
        <v>20</v>
      </c>
      <c r="C106" s="60">
        <v>1</v>
      </c>
      <c r="D106" s="60" t="s">
        <v>70</v>
      </c>
      <c r="E106" s="60">
        <v>1.2</v>
      </c>
      <c r="F106" s="66">
        <v>41.43</v>
      </c>
      <c r="G106" s="61">
        <v>6885.67</v>
      </c>
      <c r="H106" s="311">
        <v>6885.67</v>
      </c>
      <c r="I106" s="348">
        <v>275.43</v>
      </c>
      <c r="J106" s="64"/>
      <c r="K106" s="61">
        <v>0</v>
      </c>
      <c r="L106" s="63"/>
      <c r="M106" s="63"/>
      <c r="N106" s="63"/>
      <c r="O106" s="63"/>
      <c r="P106" s="61">
        <v>882.11</v>
      </c>
      <c r="Q106" s="61">
        <v>227.87</v>
      </c>
      <c r="R106" s="63"/>
      <c r="S106" s="358"/>
      <c r="T106" s="359"/>
      <c r="U106" s="312">
        <v>8271.08</v>
      </c>
      <c r="V106" s="311">
        <v>49.626479999999994</v>
      </c>
      <c r="W106" s="14"/>
      <c r="X106" s="14"/>
    </row>
    <row r="107" spans="1:24" s="18" customFormat="1" ht="22.5" x14ac:dyDescent="0.25">
      <c r="A107" s="16"/>
      <c r="B107" s="481" t="s">
        <v>23</v>
      </c>
      <c r="C107" s="60"/>
      <c r="D107" s="60"/>
      <c r="E107" s="60"/>
      <c r="F107" s="66"/>
      <c r="G107" s="61"/>
      <c r="H107" s="311"/>
      <c r="I107" s="357"/>
      <c r="J107" s="64"/>
      <c r="K107" s="61"/>
      <c r="L107" s="63"/>
      <c r="M107" s="63"/>
      <c r="N107" s="63"/>
      <c r="O107" s="63"/>
      <c r="P107" s="63"/>
      <c r="Q107" s="63"/>
      <c r="R107" s="63"/>
      <c r="S107" s="358"/>
      <c r="T107" s="359"/>
      <c r="U107" s="312"/>
      <c r="V107" s="311"/>
      <c r="W107" s="17"/>
      <c r="X107" s="17"/>
    </row>
    <row r="108" spans="1:24" s="15" customFormat="1" x14ac:dyDescent="0.25">
      <c r="A108" s="16">
        <v>60</v>
      </c>
      <c r="B108" s="310" t="s">
        <v>24</v>
      </c>
      <c r="C108" s="60">
        <v>5</v>
      </c>
      <c r="D108" s="60" t="s">
        <v>70</v>
      </c>
      <c r="E108" s="60">
        <v>1.2</v>
      </c>
      <c r="F108" s="66">
        <v>41.43</v>
      </c>
      <c r="G108" s="61">
        <v>6885.67</v>
      </c>
      <c r="H108" s="311">
        <v>34428.35</v>
      </c>
      <c r="I108" s="348">
        <v>1377.13</v>
      </c>
      <c r="J108" s="64"/>
      <c r="K108" s="61">
        <v>0</v>
      </c>
      <c r="L108" s="63"/>
      <c r="M108" s="63"/>
      <c r="N108" s="63"/>
      <c r="O108" s="63"/>
      <c r="P108" s="61">
        <v>3528.46</v>
      </c>
      <c r="Q108" s="61">
        <v>911.46</v>
      </c>
      <c r="R108" s="63"/>
      <c r="S108" s="358"/>
      <c r="T108" s="359"/>
      <c r="U108" s="312">
        <v>40245.399999999994</v>
      </c>
      <c r="V108" s="311">
        <v>241.47239999999996</v>
      </c>
      <c r="W108" s="14"/>
      <c r="X108" s="14"/>
    </row>
    <row r="109" spans="1:24" s="15" customFormat="1" ht="23.25" x14ac:dyDescent="0.25">
      <c r="A109" s="16">
        <v>61</v>
      </c>
      <c r="B109" s="310" t="s">
        <v>25</v>
      </c>
      <c r="C109" s="60">
        <v>4</v>
      </c>
      <c r="D109" s="60" t="s">
        <v>70</v>
      </c>
      <c r="E109" s="60">
        <v>1.2</v>
      </c>
      <c r="F109" s="66">
        <v>41.43</v>
      </c>
      <c r="G109" s="61">
        <v>6885.67</v>
      </c>
      <c r="H109" s="311">
        <v>27542.68</v>
      </c>
      <c r="I109" s="348">
        <v>1101.71</v>
      </c>
      <c r="J109" s="64"/>
      <c r="K109" s="61">
        <v>0</v>
      </c>
      <c r="L109" s="63"/>
      <c r="M109" s="63"/>
      <c r="N109" s="63"/>
      <c r="O109" s="63"/>
      <c r="P109" s="61"/>
      <c r="Q109" s="61">
        <v>911.46</v>
      </c>
      <c r="R109" s="63"/>
      <c r="S109" s="358"/>
      <c r="T109" s="359"/>
      <c r="U109" s="312">
        <v>29555.85</v>
      </c>
      <c r="V109" s="311">
        <v>177.33509999999998</v>
      </c>
      <c r="W109" s="14"/>
      <c r="X109" s="14"/>
    </row>
    <row r="110" spans="1:24" s="15" customFormat="1" x14ac:dyDescent="0.25">
      <c r="A110" s="16">
        <v>62</v>
      </c>
      <c r="B110" s="310" t="s">
        <v>26</v>
      </c>
      <c r="C110" s="60">
        <v>1</v>
      </c>
      <c r="D110" s="60" t="s">
        <v>115</v>
      </c>
      <c r="E110" s="60">
        <v>1.35</v>
      </c>
      <c r="F110" s="66">
        <v>46.61</v>
      </c>
      <c r="G110" s="61">
        <v>7746.58</v>
      </c>
      <c r="H110" s="311">
        <v>7746.58</v>
      </c>
      <c r="I110" s="348">
        <v>309.86</v>
      </c>
      <c r="J110" s="64"/>
      <c r="K110" s="61">
        <v>0</v>
      </c>
      <c r="L110" s="63"/>
      <c r="M110" s="63"/>
      <c r="N110" s="63"/>
      <c r="O110" s="63"/>
      <c r="P110" s="63"/>
      <c r="Q110" s="63"/>
      <c r="R110" s="63"/>
      <c r="S110" s="358"/>
      <c r="T110" s="359"/>
      <c r="U110" s="312">
        <v>8056.44</v>
      </c>
      <c r="V110" s="311">
        <v>48.338639999999998</v>
      </c>
      <c r="W110" s="14"/>
      <c r="X110" s="14"/>
    </row>
    <row r="111" spans="1:24" s="15" customFormat="1" ht="23.25" x14ac:dyDescent="0.25">
      <c r="A111" s="16">
        <v>63</v>
      </c>
      <c r="B111" s="310" t="s">
        <v>27</v>
      </c>
      <c r="C111" s="60">
        <v>4</v>
      </c>
      <c r="D111" s="60" t="s">
        <v>123</v>
      </c>
      <c r="E111" s="60">
        <v>1.54</v>
      </c>
      <c r="F111" s="66">
        <v>53.17</v>
      </c>
      <c r="G111" s="61">
        <v>8836.85</v>
      </c>
      <c r="H111" s="311">
        <v>35347.4</v>
      </c>
      <c r="I111" s="348">
        <v>1413.9</v>
      </c>
      <c r="J111" s="64"/>
      <c r="K111" s="61">
        <v>0</v>
      </c>
      <c r="L111" s="63"/>
      <c r="M111" s="63"/>
      <c r="N111" s="63"/>
      <c r="O111" s="63"/>
      <c r="P111" s="63"/>
      <c r="Q111" s="63"/>
      <c r="R111" s="63"/>
      <c r="S111" s="358"/>
      <c r="T111" s="359"/>
      <c r="U111" s="312">
        <v>36761.300000000003</v>
      </c>
      <c r="V111" s="311">
        <v>220.56780000000001</v>
      </c>
      <c r="W111" s="14"/>
      <c r="X111" s="14"/>
    </row>
    <row r="112" spans="1:24" s="15" customFormat="1" x14ac:dyDescent="0.25">
      <c r="A112" s="16">
        <v>64</v>
      </c>
      <c r="B112" s="310" t="s">
        <v>29</v>
      </c>
      <c r="C112" s="60">
        <v>1</v>
      </c>
      <c r="D112" s="60" t="s">
        <v>123</v>
      </c>
      <c r="E112" s="60">
        <v>1.54</v>
      </c>
      <c r="F112" s="66">
        <v>53.17</v>
      </c>
      <c r="G112" s="61">
        <v>8836.85</v>
      </c>
      <c r="H112" s="311">
        <v>8836.85</v>
      </c>
      <c r="I112" s="357">
        <v>706.95</v>
      </c>
      <c r="J112" s="64"/>
      <c r="K112" s="61">
        <v>0</v>
      </c>
      <c r="L112" s="63"/>
      <c r="M112" s="63"/>
      <c r="N112" s="63"/>
      <c r="O112" s="63"/>
      <c r="P112" s="63"/>
      <c r="Q112" s="63"/>
      <c r="R112" s="63"/>
      <c r="S112" s="358"/>
      <c r="T112" s="359"/>
      <c r="U112" s="312">
        <v>9543.8000000000011</v>
      </c>
      <c r="V112" s="311">
        <v>57.262800000000006</v>
      </c>
      <c r="W112" s="14"/>
      <c r="X112" s="14"/>
    </row>
    <row r="113" spans="1:24" s="15" customFormat="1" x14ac:dyDescent="0.25">
      <c r="A113" s="34">
        <v>65</v>
      </c>
      <c r="B113" s="345" t="s">
        <v>30</v>
      </c>
      <c r="C113" s="346">
        <v>1</v>
      </c>
      <c r="D113" s="346" t="s">
        <v>139</v>
      </c>
      <c r="E113" s="346">
        <v>1.8</v>
      </c>
      <c r="F113" s="482">
        <v>62.15</v>
      </c>
      <c r="G113" s="350">
        <v>10329.33</v>
      </c>
      <c r="H113" s="427">
        <v>10329.33</v>
      </c>
      <c r="I113" s="348">
        <v>413.17</v>
      </c>
      <c r="J113" s="349"/>
      <c r="K113" s="350">
        <v>0</v>
      </c>
      <c r="L113" s="351"/>
      <c r="M113" s="351"/>
      <c r="N113" s="351"/>
      <c r="O113" s="351"/>
      <c r="P113" s="351"/>
      <c r="Q113" s="351"/>
      <c r="R113" s="351"/>
      <c r="S113" s="352"/>
      <c r="T113" s="353"/>
      <c r="U113" s="354">
        <v>10742.5</v>
      </c>
      <c r="V113" s="311">
        <v>64.454999999999998</v>
      </c>
      <c r="W113" s="14"/>
      <c r="X113" s="14"/>
    </row>
    <row r="114" spans="1:24" s="18" customFormat="1" ht="33" x14ac:dyDescent="0.25">
      <c r="A114" s="16"/>
      <c r="B114" s="481" t="s">
        <v>140</v>
      </c>
      <c r="C114" s="60"/>
      <c r="D114" s="60"/>
      <c r="E114" s="60"/>
      <c r="F114" s="60"/>
      <c r="G114" s="61"/>
      <c r="H114" s="311"/>
      <c r="I114" s="357"/>
      <c r="J114" s="64"/>
      <c r="K114" s="61"/>
      <c r="L114" s="63"/>
      <c r="M114" s="63"/>
      <c r="N114" s="63"/>
      <c r="O114" s="63"/>
      <c r="P114" s="63"/>
      <c r="Q114" s="63"/>
      <c r="R114" s="63"/>
      <c r="S114" s="358"/>
      <c r="T114" s="359"/>
      <c r="U114" s="312"/>
      <c r="V114" s="311"/>
      <c r="W114" s="17"/>
      <c r="X114" s="17"/>
    </row>
    <row r="115" spans="1:24" s="15" customFormat="1" x14ac:dyDescent="0.25">
      <c r="A115" s="16">
        <v>66</v>
      </c>
      <c r="B115" s="310" t="s">
        <v>31</v>
      </c>
      <c r="C115" s="60">
        <v>1</v>
      </c>
      <c r="D115" s="60">
        <v>1.26</v>
      </c>
      <c r="E115" s="60"/>
      <c r="F115" s="60"/>
      <c r="G115" s="61">
        <v>4576</v>
      </c>
      <c r="H115" s="311">
        <v>4576</v>
      </c>
      <c r="I115" s="357"/>
      <c r="J115" s="64"/>
      <c r="K115" s="61">
        <v>0</v>
      </c>
      <c r="L115" s="63"/>
      <c r="M115" s="63"/>
      <c r="N115" s="63"/>
      <c r="O115" s="63"/>
      <c r="P115" s="63"/>
      <c r="Q115" s="63"/>
      <c r="R115" s="63"/>
      <c r="S115" s="311">
        <v>1424</v>
      </c>
      <c r="T115" s="359"/>
      <c r="U115" s="312">
        <v>6000</v>
      </c>
      <c r="V115" s="311">
        <v>36</v>
      </c>
      <c r="W115" s="14"/>
      <c r="X115" s="14"/>
    </row>
    <row r="116" spans="1:24" s="15" customFormat="1" ht="24" thickBot="1" x14ac:dyDescent="0.3">
      <c r="A116" s="371">
        <v>67</v>
      </c>
      <c r="B116" s="319" t="s">
        <v>32</v>
      </c>
      <c r="C116" s="320">
        <v>1</v>
      </c>
      <c r="D116" s="320">
        <v>1.05</v>
      </c>
      <c r="E116" s="320"/>
      <c r="F116" s="320"/>
      <c r="G116" s="321">
        <v>3814</v>
      </c>
      <c r="H116" s="322">
        <v>3814</v>
      </c>
      <c r="I116" s="440">
        <v>152.56</v>
      </c>
      <c r="J116" s="433"/>
      <c r="K116" s="321">
        <v>0</v>
      </c>
      <c r="L116" s="434"/>
      <c r="M116" s="434"/>
      <c r="N116" s="434"/>
      <c r="O116" s="434"/>
      <c r="P116" s="434"/>
      <c r="Q116" s="434"/>
      <c r="R116" s="434"/>
      <c r="S116" s="322">
        <v>2186</v>
      </c>
      <c r="T116" s="380"/>
      <c r="U116" s="454">
        <v>6152.5599999999995</v>
      </c>
      <c r="V116" s="311">
        <v>36.91536</v>
      </c>
      <c r="W116" s="14"/>
      <c r="X116" s="14"/>
    </row>
    <row r="117" spans="1:24" s="39" customFormat="1" ht="24" thickBot="1" x14ac:dyDescent="0.3">
      <c r="A117" s="414"/>
      <c r="B117" s="467" t="s">
        <v>141</v>
      </c>
      <c r="C117" s="468">
        <v>38</v>
      </c>
      <c r="D117" s="468"/>
      <c r="E117" s="468"/>
      <c r="F117" s="468"/>
      <c r="G117" s="469">
        <v>91651.23</v>
      </c>
      <c r="H117" s="472">
        <v>267582.31</v>
      </c>
      <c r="I117" s="483">
        <v>10873.73</v>
      </c>
      <c r="J117" s="469"/>
      <c r="K117" s="469">
        <v>0</v>
      </c>
      <c r="L117" s="469">
        <v>0</v>
      </c>
      <c r="M117" s="469">
        <v>0</v>
      </c>
      <c r="N117" s="469">
        <v>0</v>
      </c>
      <c r="O117" s="469">
        <v>0</v>
      </c>
      <c r="P117" s="469">
        <v>18242.32</v>
      </c>
      <c r="Q117" s="469">
        <v>5623.76</v>
      </c>
      <c r="R117" s="469">
        <v>0</v>
      </c>
      <c r="S117" s="470">
        <v>3610</v>
      </c>
      <c r="T117" s="484"/>
      <c r="U117" s="415">
        <v>305932.12</v>
      </c>
      <c r="V117" s="420">
        <v>1835.5927199999999</v>
      </c>
      <c r="W117" s="38"/>
      <c r="X117" s="38"/>
    </row>
    <row r="118" spans="1:24" s="39" customFormat="1" ht="24" thickBot="1" x14ac:dyDescent="0.3">
      <c r="A118" s="331"/>
      <c r="B118" s="407" t="s">
        <v>33</v>
      </c>
      <c r="C118" s="464">
        <v>42.5</v>
      </c>
      <c r="D118" s="464"/>
      <c r="E118" s="464"/>
      <c r="F118" s="464"/>
      <c r="G118" s="336">
        <v>135838.22999999998</v>
      </c>
      <c r="H118" s="340">
        <v>317220.31</v>
      </c>
      <c r="I118" s="335">
        <v>10873.73</v>
      </c>
      <c r="J118" s="336"/>
      <c r="K118" s="336">
        <v>0</v>
      </c>
      <c r="L118" s="336">
        <v>0</v>
      </c>
      <c r="M118" s="336">
        <v>0</v>
      </c>
      <c r="N118" s="336">
        <v>0</v>
      </c>
      <c r="O118" s="336">
        <v>0</v>
      </c>
      <c r="P118" s="336">
        <v>18242.32</v>
      </c>
      <c r="Q118" s="336">
        <v>6079.51</v>
      </c>
      <c r="R118" s="336">
        <v>0</v>
      </c>
      <c r="S118" s="337">
        <v>3610</v>
      </c>
      <c r="T118" s="465"/>
      <c r="U118" s="335">
        <v>356025.87</v>
      </c>
      <c r="V118" s="337">
        <v>2136.1552199999996</v>
      </c>
      <c r="W118" s="38"/>
      <c r="X118" s="38"/>
    </row>
    <row r="119" spans="1:24" s="15" customFormat="1" ht="19.5" customHeight="1" thickBot="1" x14ac:dyDescent="0.3">
      <c r="A119" s="318"/>
      <c r="B119" s="649" t="s">
        <v>142</v>
      </c>
      <c r="C119" s="650"/>
      <c r="D119" s="650"/>
      <c r="E119" s="650"/>
      <c r="F119" s="650"/>
      <c r="G119" s="650"/>
      <c r="H119" s="650"/>
      <c r="I119" s="651"/>
      <c r="J119" s="326"/>
      <c r="K119" s="326"/>
      <c r="L119" s="326"/>
      <c r="M119" s="326"/>
      <c r="N119" s="326"/>
      <c r="O119" s="326"/>
      <c r="P119" s="326"/>
      <c r="Q119" s="326"/>
      <c r="R119" s="326"/>
      <c r="S119" s="327"/>
      <c r="T119" s="485"/>
      <c r="U119" s="486"/>
      <c r="V119" s="458"/>
      <c r="W119" s="14"/>
      <c r="X119" s="14"/>
    </row>
    <row r="120" spans="1:24" s="18" customFormat="1" ht="33" x14ac:dyDescent="0.25">
      <c r="A120" s="34"/>
      <c r="B120" s="382" t="s">
        <v>65</v>
      </c>
      <c r="C120" s="346"/>
      <c r="D120" s="346"/>
      <c r="E120" s="346"/>
      <c r="F120" s="346"/>
      <c r="G120" s="350"/>
      <c r="H120" s="347"/>
      <c r="I120" s="425"/>
      <c r="J120" s="423"/>
      <c r="K120" s="423"/>
      <c r="L120" s="423"/>
      <c r="M120" s="423"/>
      <c r="N120" s="423"/>
      <c r="O120" s="423"/>
      <c r="P120" s="423"/>
      <c r="Q120" s="423"/>
      <c r="R120" s="423"/>
      <c r="S120" s="447"/>
      <c r="T120" s="353"/>
      <c r="U120" s="480"/>
      <c r="V120" s="427"/>
      <c r="W120" s="17"/>
      <c r="X120" s="17"/>
    </row>
    <row r="121" spans="1:24" s="15" customFormat="1" x14ac:dyDescent="0.25">
      <c r="A121" s="16">
        <v>68</v>
      </c>
      <c r="B121" s="310" t="s">
        <v>118</v>
      </c>
      <c r="C121" s="60">
        <v>1</v>
      </c>
      <c r="D121" s="60">
        <v>2.15</v>
      </c>
      <c r="E121" s="60"/>
      <c r="F121" s="60"/>
      <c r="G121" s="61">
        <v>12338</v>
      </c>
      <c r="H121" s="356">
        <v>12338</v>
      </c>
      <c r="I121" s="357"/>
      <c r="J121" s="64"/>
      <c r="K121" s="61">
        <v>0</v>
      </c>
      <c r="L121" s="63"/>
      <c r="M121" s="63"/>
      <c r="N121" s="63"/>
      <c r="O121" s="63"/>
      <c r="P121" s="63"/>
      <c r="Q121" s="63"/>
      <c r="R121" s="63"/>
      <c r="S121" s="358"/>
      <c r="T121" s="359"/>
      <c r="U121" s="312">
        <v>12338</v>
      </c>
      <c r="V121" s="311">
        <v>74.028000000000006</v>
      </c>
      <c r="W121" s="14"/>
      <c r="X121" s="14"/>
    </row>
    <row r="122" spans="1:24" s="15" customFormat="1" ht="16.5" thickBot="1" x14ac:dyDescent="0.3">
      <c r="A122" s="371">
        <v>69</v>
      </c>
      <c r="B122" s="372" t="s">
        <v>46</v>
      </c>
      <c r="C122" s="373">
        <v>1</v>
      </c>
      <c r="D122" s="373">
        <v>1.7</v>
      </c>
      <c r="E122" s="373"/>
      <c r="F122" s="373"/>
      <c r="G122" s="61">
        <v>9756</v>
      </c>
      <c r="H122" s="374">
        <v>9756</v>
      </c>
      <c r="I122" s="375"/>
      <c r="J122" s="376"/>
      <c r="K122" s="377">
        <v>0</v>
      </c>
      <c r="L122" s="378"/>
      <c r="M122" s="378"/>
      <c r="N122" s="378"/>
      <c r="O122" s="378"/>
      <c r="P122" s="378"/>
      <c r="Q122" s="378"/>
      <c r="R122" s="378"/>
      <c r="S122" s="379"/>
      <c r="T122" s="380"/>
      <c r="U122" s="454">
        <v>9756</v>
      </c>
      <c r="V122" s="311">
        <v>58.536000000000001</v>
      </c>
      <c r="W122" s="14"/>
      <c r="X122" s="14"/>
    </row>
    <row r="123" spans="1:24" s="18" customFormat="1" ht="46.5" thickBot="1" x14ac:dyDescent="0.3">
      <c r="A123" s="362"/>
      <c r="B123" s="363" t="s">
        <v>143</v>
      </c>
      <c r="C123" s="364">
        <v>2</v>
      </c>
      <c r="D123" s="364"/>
      <c r="E123" s="364"/>
      <c r="F123" s="364"/>
      <c r="G123" s="365">
        <v>22094</v>
      </c>
      <c r="H123" s="366">
        <v>22094</v>
      </c>
      <c r="I123" s="367">
        <v>0</v>
      </c>
      <c r="J123" s="365"/>
      <c r="K123" s="365">
        <v>0</v>
      </c>
      <c r="L123" s="365">
        <v>0</v>
      </c>
      <c r="M123" s="365">
        <v>0</v>
      </c>
      <c r="N123" s="365">
        <v>0</v>
      </c>
      <c r="O123" s="365">
        <v>0</v>
      </c>
      <c r="P123" s="365">
        <v>0</v>
      </c>
      <c r="Q123" s="365">
        <v>0</v>
      </c>
      <c r="R123" s="365">
        <v>0</v>
      </c>
      <c r="S123" s="368">
        <v>0</v>
      </c>
      <c r="T123" s="369"/>
      <c r="U123" s="367">
        <v>22094</v>
      </c>
      <c r="V123" s="368">
        <v>132.56400000000002</v>
      </c>
      <c r="W123" s="17"/>
      <c r="X123" s="17"/>
    </row>
    <row r="124" spans="1:24" s="15" customFormat="1" ht="24" thickBot="1" x14ac:dyDescent="0.3">
      <c r="A124" s="385">
        <v>70</v>
      </c>
      <c r="B124" s="386" t="s">
        <v>47</v>
      </c>
      <c r="C124" s="387">
        <v>2</v>
      </c>
      <c r="D124" s="387" t="s">
        <v>70</v>
      </c>
      <c r="E124" s="387">
        <v>1.2</v>
      </c>
      <c r="F124" s="66">
        <v>41.43</v>
      </c>
      <c r="G124" s="389">
        <v>6885.67</v>
      </c>
      <c r="H124" s="390">
        <v>13771.34</v>
      </c>
      <c r="I124" s="440">
        <v>550.85</v>
      </c>
      <c r="J124" s="392"/>
      <c r="K124" s="389">
        <v>0</v>
      </c>
      <c r="L124" s="393"/>
      <c r="M124" s="393"/>
      <c r="N124" s="393"/>
      <c r="O124" s="393"/>
      <c r="P124" s="393"/>
      <c r="Q124" s="393"/>
      <c r="R124" s="393"/>
      <c r="S124" s="394"/>
      <c r="T124" s="395"/>
      <c r="U124" s="396">
        <v>14322.19</v>
      </c>
      <c r="V124" s="311">
        <v>85.933139999999995</v>
      </c>
      <c r="W124" s="14"/>
      <c r="X124" s="14"/>
    </row>
    <row r="125" spans="1:24" s="18" customFormat="1" ht="46.5" thickBot="1" x14ac:dyDescent="0.3">
      <c r="A125" s="362"/>
      <c r="B125" s="363" t="s">
        <v>144</v>
      </c>
      <c r="C125" s="364">
        <v>2</v>
      </c>
      <c r="D125" s="364"/>
      <c r="E125" s="364"/>
      <c r="F125" s="364"/>
      <c r="G125" s="442">
        <v>6885.67</v>
      </c>
      <c r="H125" s="487">
        <v>13771.34</v>
      </c>
      <c r="I125" s="488">
        <v>550.85</v>
      </c>
      <c r="J125" s="442"/>
      <c r="K125" s="442">
        <v>0</v>
      </c>
      <c r="L125" s="442">
        <v>0</v>
      </c>
      <c r="M125" s="442">
        <v>0</v>
      </c>
      <c r="N125" s="442">
        <v>0</v>
      </c>
      <c r="O125" s="442">
        <v>0</v>
      </c>
      <c r="P125" s="442">
        <v>0</v>
      </c>
      <c r="Q125" s="442">
        <v>0</v>
      </c>
      <c r="R125" s="442">
        <v>0</v>
      </c>
      <c r="S125" s="443">
        <v>0</v>
      </c>
      <c r="T125" s="444"/>
      <c r="U125" s="370">
        <v>14322.19</v>
      </c>
      <c r="V125" s="311">
        <v>85.933139999999995</v>
      </c>
      <c r="W125" s="17"/>
      <c r="X125" s="17"/>
    </row>
    <row r="126" spans="1:24" s="39" customFormat="1" ht="46.5" thickBot="1" x14ac:dyDescent="0.3">
      <c r="A126" s="331"/>
      <c r="B126" s="407" t="s">
        <v>145</v>
      </c>
      <c r="C126" s="408">
        <v>4</v>
      </c>
      <c r="D126" s="408"/>
      <c r="E126" s="408"/>
      <c r="F126" s="408"/>
      <c r="G126" s="336">
        <v>28979.67</v>
      </c>
      <c r="H126" s="340">
        <v>35865.339999999997</v>
      </c>
      <c r="I126" s="335">
        <v>550.85</v>
      </c>
      <c r="J126" s="336"/>
      <c r="K126" s="336">
        <v>0</v>
      </c>
      <c r="L126" s="336">
        <v>0</v>
      </c>
      <c r="M126" s="336">
        <v>0</v>
      </c>
      <c r="N126" s="336">
        <v>0</v>
      </c>
      <c r="O126" s="336">
        <v>0</v>
      </c>
      <c r="P126" s="336">
        <v>0</v>
      </c>
      <c r="Q126" s="336">
        <v>0</v>
      </c>
      <c r="R126" s="336">
        <v>0</v>
      </c>
      <c r="S126" s="337">
        <v>0</v>
      </c>
      <c r="T126" s="465"/>
      <c r="U126" s="335">
        <v>36416.19</v>
      </c>
      <c r="V126" s="337">
        <v>218.49714</v>
      </c>
      <c r="W126" s="38"/>
      <c r="X126" s="38"/>
    </row>
    <row r="127" spans="1:24" s="18" customFormat="1" ht="30.75" customHeight="1" thickBot="1" x14ac:dyDescent="0.3">
      <c r="A127" s="362"/>
      <c r="B127" s="652" t="s">
        <v>146</v>
      </c>
      <c r="C127" s="653"/>
      <c r="D127" s="654"/>
      <c r="E127" s="400"/>
      <c r="F127" s="400"/>
      <c r="G127" s="401"/>
      <c r="H127" s="402"/>
      <c r="I127" s="367"/>
      <c r="J127" s="442"/>
      <c r="K127" s="442"/>
      <c r="L127" s="442"/>
      <c r="M127" s="442"/>
      <c r="N127" s="442"/>
      <c r="O127" s="442"/>
      <c r="P127" s="442"/>
      <c r="Q127" s="442"/>
      <c r="R127" s="442"/>
      <c r="S127" s="443"/>
      <c r="T127" s="444"/>
      <c r="U127" s="488"/>
      <c r="V127" s="368"/>
      <c r="W127" s="17"/>
      <c r="X127" s="17"/>
    </row>
    <row r="128" spans="1:24" s="15" customFormat="1" x14ac:dyDescent="0.25">
      <c r="A128" s="298">
        <v>71</v>
      </c>
      <c r="B128" s="299" t="s">
        <v>18</v>
      </c>
      <c r="C128" s="300">
        <v>1</v>
      </c>
      <c r="D128" s="300">
        <v>2.4</v>
      </c>
      <c r="E128" s="300"/>
      <c r="F128" s="300"/>
      <c r="G128" s="301">
        <v>13773</v>
      </c>
      <c r="H128" s="302">
        <v>13773</v>
      </c>
      <c r="I128" s="421"/>
      <c r="J128" s="422"/>
      <c r="K128" s="301">
        <v>0</v>
      </c>
      <c r="L128" s="423"/>
      <c r="M128" s="423"/>
      <c r="N128" s="423"/>
      <c r="O128" s="423"/>
      <c r="P128" s="423"/>
      <c r="Q128" s="423"/>
      <c r="R128" s="423"/>
      <c r="S128" s="302"/>
      <c r="T128" s="355"/>
      <c r="U128" s="425">
        <v>13773</v>
      </c>
      <c r="V128" s="311">
        <v>82.638000000000005</v>
      </c>
      <c r="W128" s="14"/>
      <c r="X128" s="14"/>
    </row>
    <row r="129" spans="1:24" s="15" customFormat="1" ht="16.5" thickBot="1" x14ac:dyDescent="0.3">
      <c r="A129" s="33">
        <v>72</v>
      </c>
      <c r="B129" s="319" t="s">
        <v>113</v>
      </c>
      <c r="C129" s="320">
        <v>2</v>
      </c>
      <c r="D129" s="320">
        <v>1.8</v>
      </c>
      <c r="E129" s="320"/>
      <c r="F129" s="320"/>
      <c r="G129" s="321">
        <v>10329</v>
      </c>
      <c r="H129" s="322">
        <v>20658</v>
      </c>
      <c r="I129" s="432"/>
      <c r="J129" s="433"/>
      <c r="K129" s="321">
        <v>0</v>
      </c>
      <c r="L129" s="434"/>
      <c r="M129" s="434"/>
      <c r="N129" s="434"/>
      <c r="O129" s="434"/>
      <c r="P129" s="434"/>
      <c r="Q129" s="61">
        <v>455.75</v>
      </c>
      <c r="R129" s="434"/>
      <c r="S129" s="458"/>
      <c r="T129" s="489"/>
      <c r="U129" s="436">
        <v>21113.75</v>
      </c>
      <c r="V129" s="311">
        <v>126.6825</v>
      </c>
      <c r="W129" s="14"/>
      <c r="X129" s="14"/>
    </row>
    <row r="130" spans="1:24" s="18" customFormat="1" ht="35.25" thickBot="1" x14ac:dyDescent="0.3">
      <c r="A130" s="362"/>
      <c r="B130" s="363" t="s">
        <v>147</v>
      </c>
      <c r="C130" s="364">
        <v>3</v>
      </c>
      <c r="D130" s="364"/>
      <c r="E130" s="364"/>
      <c r="F130" s="364"/>
      <c r="G130" s="365">
        <v>24102</v>
      </c>
      <c r="H130" s="368">
        <v>34431</v>
      </c>
      <c r="I130" s="367">
        <v>0</v>
      </c>
      <c r="J130" s="365"/>
      <c r="K130" s="365">
        <v>0</v>
      </c>
      <c r="L130" s="365">
        <v>0</v>
      </c>
      <c r="M130" s="365">
        <v>0</v>
      </c>
      <c r="N130" s="365">
        <v>0</v>
      </c>
      <c r="O130" s="365">
        <v>0</v>
      </c>
      <c r="P130" s="365">
        <v>0</v>
      </c>
      <c r="Q130" s="365">
        <v>455.75</v>
      </c>
      <c r="R130" s="365">
        <v>0</v>
      </c>
      <c r="S130" s="368">
        <v>0</v>
      </c>
      <c r="T130" s="369"/>
      <c r="U130" s="367">
        <v>34886.75</v>
      </c>
      <c r="V130" s="368">
        <v>209.32050000000001</v>
      </c>
      <c r="W130" s="17"/>
      <c r="X130" s="17"/>
    </row>
    <row r="131" spans="1:24" s="15" customFormat="1" ht="23.25" x14ac:dyDescent="0.25">
      <c r="A131" s="298">
        <v>73</v>
      </c>
      <c r="B131" s="299" t="s">
        <v>20</v>
      </c>
      <c r="C131" s="300">
        <v>4</v>
      </c>
      <c r="D131" s="300" t="s">
        <v>70</v>
      </c>
      <c r="E131" s="300">
        <v>1.2</v>
      </c>
      <c r="F131" s="446">
        <v>41.43</v>
      </c>
      <c r="G131" s="301">
        <v>6885.67</v>
      </c>
      <c r="H131" s="302">
        <v>27542.68</v>
      </c>
      <c r="I131" s="348">
        <v>1101.71</v>
      </c>
      <c r="J131" s="422"/>
      <c r="K131" s="301">
        <v>0</v>
      </c>
      <c r="L131" s="423"/>
      <c r="M131" s="423"/>
      <c r="N131" s="423"/>
      <c r="O131" s="423"/>
      <c r="P131" s="61">
        <v>3528.46</v>
      </c>
      <c r="Q131" s="61">
        <v>911.46</v>
      </c>
      <c r="R131" s="423"/>
      <c r="S131" s="447"/>
      <c r="T131" s="448"/>
      <c r="U131" s="421">
        <v>33084.31</v>
      </c>
      <c r="V131" s="311">
        <v>198.50585999999998</v>
      </c>
      <c r="W131" s="14"/>
      <c r="X131" s="14"/>
    </row>
    <row r="132" spans="1:24" s="15" customFormat="1" x14ac:dyDescent="0.25">
      <c r="A132" s="16">
        <v>74</v>
      </c>
      <c r="B132" s="310" t="s">
        <v>57</v>
      </c>
      <c r="C132" s="60">
        <v>4</v>
      </c>
      <c r="D132" s="60" t="s">
        <v>138</v>
      </c>
      <c r="E132" s="60">
        <v>1.08</v>
      </c>
      <c r="F132" s="66">
        <v>37.29</v>
      </c>
      <c r="G132" s="61">
        <v>6197.6</v>
      </c>
      <c r="H132" s="311">
        <v>24790.400000000001</v>
      </c>
      <c r="I132" s="348">
        <v>1983.23</v>
      </c>
      <c r="J132" s="64"/>
      <c r="K132" s="61">
        <v>0</v>
      </c>
      <c r="L132" s="63"/>
      <c r="M132" s="63"/>
      <c r="N132" s="63"/>
      <c r="O132" s="63"/>
      <c r="P132" s="61">
        <v>3175.87</v>
      </c>
      <c r="Q132" s="61">
        <v>820.38</v>
      </c>
      <c r="R132" s="63"/>
      <c r="S132" s="358"/>
      <c r="T132" s="359"/>
      <c r="U132" s="312">
        <v>30769.88</v>
      </c>
      <c r="V132" s="311">
        <v>184.61928</v>
      </c>
      <c r="W132" s="14"/>
      <c r="X132" s="14"/>
    </row>
    <row r="133" spans="1:24" s="18" customFormat="1" ht="22.5" x14ac:dyDescent="0.25">
      <c r="A133" s="16"/>
      <c r="B133" s="481" t="s">
        <v>58</v>
      </c>
      <c r="C133" s="60"/>
      <c r="D133" s="60"/>
      <c r="E133" s="60"/>
      <c r="F133" s="60"/>
      <c r="G133" s="61"/>
      <c r="H133" s="311"/>
      <c r="I133" s="312"/>
      <c r="J133" s="64"/>
      <c r="K133" s="61"/>
      <c r="L133" s="63"/>
      <c r="M133" s="63"/>
      <c r="N133" s="63"/>
      <c r="O133" s="63"/>
      <c r="P133" s="63"/>
      <c r="Q133" s="63"/>
      <c r="R133" s="63"/>
      <c r="S133" s="358"/>
      <c r="T133" s="359"/>
      <c r="U133" s="312"/>
      <c r="V133" s="311"/>
      <c r="W133" s="17"/>
      <c r="X133" s="17"/>
    </row>
    <row r="134" spans="1:24" s="15" customFormat="1" ht="23.25" x14ac:dyDescent="0.25">
      <c r="A134" s="16">
        <v>75</v>
      </c>
      <c r="B134" s="310" t="s">
        <v>27</v>
      </c>
      <c r="C134" s="60">
        <v>1</v>
      </c>
      <c r="D134" s="60" t="s">
        <v>115</v>
      </c>
      <c r="E134" s="60">
        <v>1.35</v>
      </c>
      <c r="F134" s="66">
        <v>46.61</v>
      </c>
      <c r="G134" s="61">
        <v>7746.58</v>
      </c>
      <c r="H134" s="311">
        <v>7746.58</v>
      </c>
      <c r="I134" s="348">
        <v>619.73</v>
      </c>
      <c r="J134" s="64"/>
      <c r="K134" s="61">
        <v>0</v>
      </c>
      <c r="L134" s="63"/>
      <c r="M134" s="63"/>
      <c r="N134" s="63"/>
      <c r="O134" s="63"/>
      <c r="P134" s="61">
        <v>992.4</v>
      </c>
      <c r="Q134" s="61">
        <v>256.36</v>
      </c>
      <c r="R134" s="63"/>
      <c r="S134" s="358"/>
      <c r="T134" s="359"/>
      <c r="U134" s="312">
        <v>9615.07</v>
      </c>
      <c r="V134" s="311">
        <v>57.690419999999996</v>
      </c>
      <c r="W134" s="14"/>
      <c r="X134" s="14"/>
    </row>
    <row r="135" spans="1:24" s="15" customFormat="1" ht="23.25" x14ac:dyDescent="0.25">
      <c r="A135" s="16">
        <v>76</v>
      </c>
      <c r="B135" s="310" t="s">
        <v>27</v>
      </c>
      <c r="C135" s="60">
        <v>3</v>
      </c>
      <c r="D135" s="60" t="s">
        <v>123</v>
      </c>
      <c r="E135" s="60">
        <v>1.54</v>
      </c>
      <c r="F135" s="66">
        <v>53.17</v>
      </c>
      <c r="G135" s="61">
        <v>8836.85</v>
      </c>
      <c r="H135" s="311">
        <v>26510.550000000003</v>
      </c>
      <c r="I135" s="348">
        <v>2120.84</v>
      </c>
      <c r="J135" s="64"/>
      <c r="K135" s="61">
        <v>0</v>
      </c>
      <c r="L135" s="63"/>
      <c r="M135" s="63"/>
      <c r="N135" s="63"/>
      <c r="O135" s="63"/>
      <c r="P135" s="63"/>
      <c r="Q135" s="61">
        <v>877.31</v>
      </c>
      <c r="R135" s="63"/>
      <c r="S135" s="358"/>
      <c r="T135" s="359"/>
      <c r="U135" s="312">
        <v>29508.700000000004</v>
      </c>
      <c r="V135" s="311">
        <v>177.0522</v>
      </c>
      <c r="W135" s="14"/>
      <c r="X135" s="14"/>
    </row>
    <row r="136" spans="1:24" s="15" customFormat="1" x14ac:dyDescent="0.25">
      <c r="A136" s="16">
        <v>77</v>
      </c>
      <c r="B136" s="310" t="s">
        <v>29</v>
      </c>
      <c r="C136" s="60">
        <v>1</v>
      </c>
      <c r="D136" s="60" t="s">
        <v>123</v>
      </c>
      <c r="E136" s="60">
        <v>1.54</v>
      </c>
      <c r="F136" s="66">
        <v>53.17</v>
      </c>
      <c r="G136" s="61">
        <v>8836.85</v>
      </c>
      <c r="H136" s="311">
        <v>8836.85</v>
      </c>
      <c r="I136" s="348">
        <v>706.95</v>
      </c>
      <c r="J136" s="64"/>
      <c r="K136" s="61">
        <v>0</v>
      </c>
      <c r="L136" s="63"/>
      <c r="M136" s="63"/>
      <c r="N136" s="63"/>
      <c r="O136" s="63"/>
      <c r="P136" s="63"/>
      <c r="Q136" s="63"/>
      <c r="R136" s="63"/>
      <c r="S136" s="358"/>
      <c r="T136" s="359"/>
      <c r="U136" s="312">
        <v>9543.8000000000011</v>
      </c>
      <c r="V136" s="311">
        <v>57.262800000000006</v>
      </c>
      <c r="W136" s="14"/>
      <c r="X136" s="14"/>
    </row>
    <row r="137" spans="1:24" s="18" customFormat="1" ht="22.5" x14ac:dyDescent="0.25">
      <c r="A137" s="16"/>
      <c r="B137" s="481" t="s">
        <v>59</v>
      </c>
      <c r="C137" s="60"/>
      <c r="D137" s="60"/>
      <c r="E137" s="60"/>
      <c r="F137" s="66"/>
      <c r="G137" s="61"/>
      <c r="H137" s="311"/>
      <c r="I137" s="312"/>
      <c r="J137" s="64"/>
      <c r="K137" s="61"/>
      <c r="L137" s="63"/>
      <c r="M137" s="63"/>
      <c r="N137" s="63"/>
      <c r="O137" s="63"/>
      <c r="P137" s="63"/>
      <c r="Q137" s="63"/>
      <c r="R137" s="63"/>
      <c r="S137" s="358"/>
      <c r="T137" s="359"/>
      <c r="U137" s="312"/>
      <c r="V137" s="311"/>
      <c r="W137" s="17"/>
      <c r="X137" s="17"/>
    </row>
    <row r="138" spans="1:24" s="15" customFormat="1" x14ac:dyDescent="0.25">
      <c r="A138" s="16">
        <v>78</v>
      </c>
      <c r="B138" s="310" t="s">
        <v>57</v>
      </c>
      <c r="C138" s="60">
        <v>2</v>
      </c>
      <c r="D138" s="60" t="s">
        <v>138</v>
      </c>
      <c r="E138" s="60">
        <v>1.08</v>
      </c>
      <c r="F138" s="66">
        <v>37.29</v>
      </c>
      <c r="G138" s="61">
        <v>6197.6</v>
      </c>
      <c r="H138" s="311">
        <v>12395.2</v>
      </c>
      <c r="I138" s="348">
        <v>991.62</v>
      </c>
      <c r="J138" s="64"/>
      <c r="K138" s="61">
        <v>0</v>
      </c>
      <c r="L138" s="63"/>
      <c r="M138" s="63"/>
      <c r="N138" s="63"/>
      <c r="O138" s="63"/>
      <c r="P138" s="61">
        <v>1587.93</v>
      </c>
      <c r="Q138" s="61">
        <v>410.19</v>
      </c>
      <c r="R138" s="63"/>
      <c r="S138" s="358"/>
      <c r="T138" s="359"/>
      <c r="U138" s="312">
        <v>15384.940000000002</v>
      </c>
      <c r="V138" s="311">
        <v>92.309640000000016</v>
      </c>
      <c r="W138" s="14"/>
      <c r="X138" s="14"/>
    </row>
    <row r="139" spans="1:24" s="15" customFormat="1" ht="29.25" customHeight="1" x14ac:dyDescent="0.25">
      <c r="A139" s="16">
        <v>79</v>
      </c>
      <c r="B139" s="310" t="s">
        <v>60</v>
      </c>
      <c r="C139" s="60">
        <v>4</v>
      </c>
      <c r="D139" s="60" t="s">
        <v>138</v>
      </c>
      <c r="E139" s="60">
        <v>1.08</v>
      </c>
      <c r="F139" s="66">
        <v>37.29</v>
      </c>
      <c r="G139" s="61">
        <v>6197.6</v>
      </c>
      <c r="H139" s="311">
        <v>24790.400000000001</v>
      </c>
      <c r="I139" s="348">
        <v>1983.23</v>
      </c>
      <c r="J139" s="64"/>
      <c r="K139" s="61">
        <v>0</v>
      </c>
      <c r="L139" s="63"/>
      <c r="M139" s="63"/>
      <c r="N139" s="63"/>
      <c r="O139" s="63"/>
      <c r="P139" s="61">
        <v>3175.87</v>
      </c>
      <c r="Q139" s="61">
        <v>820.38</v>
      </c>
      <c r="R139" s="63"/>
      <c r="S139" s="358"/>
      <c r="T139" s="359"/>
      <c r="U139" s="312">
        <v>30769.88</v>
      </c>
      <c r="V139" s="311">
        <v>184.61928</v>
      </c>
      <c r="W139" s="14"/>
      <c r="X139" s="14"/>
    </row>
    <row r="140" spans="1:24" s="15" customFormat="1" ht="25.5" customHeight="1" x14ac:dyDescent="0.25">
      <c r="A140" s="16">
        <v>80</v>
      </c>
      <c r="B140" s="310" t="s">
        <v>61</v>
      </c>
      <c r="C140" s="60">
        <v>2</v>
      </c>
      <c r="D140" s="60" t="s">
        <v>138</v>
      </c>
      <c r="E140" s="60">
        <v>1.08</v>
      </c>
      <c r="F140" s="66">
        <v>37.29</v>
      </c>
      <c r="G140" s="61">
        <v>6197.6</v>
      </c>
      <c r="H140" s="311">
        <v>12395.2</v>
      </c>
      <c r="I140" s="348">
        <v>991.62</v>
      </c>
      <c r="J140" s="64"/>
      <c r="K140" s="61">
        <v>0</v>
      </c>
      <c r="L140" s="63"/>
      <c r="M140" s="63"/>
      <c r="N140" s="63"/>
      <c r="O140" s="63"/>
      <c r="P140" s="61">
        <v>1587.93</v>
      </c>
      <c r="Q140" s="61">
        <v>410.19</v>
      </c>
      <c r="R140" s="63"/>
      <c r="S140" s="358"/>
      <c r="T140" s="359"/>
      <c r="U140" s="312">
        <v>15384.940000000002</v>
      </c>
      <c r="V140" s="311">
        <v>92.309640000000016</v>
      </c>
      <c r="W140" s="14"/>
      <c r="X140" s="14"/>
    </row>
    <row r="141" spans="1:24" s="15" customFormat="1" ht="23.25" x14ac:dyDescent="0.25">
      <c r="A141" s="16">
        <v>81</v>
      </c>
      <c r="B141" s="310" t="s">
        <v>62</v>
      </c>
      <c r="C141" s="60">
        <v>1</v>
      </c>
      <c r="D141" s="60" t="s">
        <v>138</v>
      </c>
      <c r="E141" s="60">
        <v>1.08</v>
      </c>
      <c r="F141" s="66">
        <v>37.29</v>
      </c>
      <c r="G141" s="61">
        <v>6197.6</v>
      </c>
      <c r="H141" s="311">
        <v>6197.6</v>
      </c>
      <c r="I141" s="348">
        <v>495.81</v>
      </c>
      <c r="J141" s="64"/>
      <c r="K141" s="61">
        <v>0</v>
      </c>
      <c r="L141" s="63"/>
      <c r="M141" s="63"/>
      <c r="N141" s="63"/>
      <c r="O141" s="63"/>
      <c r="P141" s="63"/>
      <c r="Q141" s="61">
        <v>205.1</v>
      </c>
      <c r="R141" s="63"/>
      <c r="S141" s="358"/>
      <c r="T141" s="359"/>
      <c r="U141" s="312">
        <v>6898.5100000000011</v>
      </c>
      <c r="V141" s="311">
        <v>41.391060000000003</v>
      </c>
      <c r="W141" s="14"/>
      <c r="X141" s="14"/>
    </row>
    <row r="142" spans="1:24" s="15" customFormat="1" ht="23.25" x14ac:dyDescent="0.25">
      <c r="A142" s="16">
        <v>82</v>
      </c>
      <c r="B142" s="310" t="s">
        <v>148</v>
      </c>
      <c r="C142" s="60">
        <v>4</v>
      </c>
      <c r="D142" s="60" t="s">
        <v>70</v>
      </c>
      <c r="E142" s="60">
        <v>1.2</v>
      </c>
      <c r="F142" s="66">
        <v>41.43</v>
      </c>
      <c r="G142" s="61">
        <v>6885.67</v>
      </c>
      <c r="H142" s="311">
        <v>27542.68</v>
      </c>
      <c r="I142" s="348">
        <v>1101.71</v>
      </c>
      <c r="J142" s="64"/>
      <c r="K142" s="61">
        <v>0</v>
      </c>
      <c r="L142" s="63"/>
      <c r="M142" s="63"/>
      <c r="N142" s="63"/>
      <c r="O142" s="63"/>
      <c r="P142" s="63"/>
      <c r="Q142" s="61">
        <v>911.46</v>
      </c>
      <c r="R142" s="63"/>
      <c r="S142" s="358"/>
      <c r="T142" s="359"/>
      <c r="U142" s="312">
        <v>29555.85</v>
      </c>
      <c r="V142" s="311">
        <v>177.33509999999998</v>
      </c>
      <c r="W142" s="14"/>
      <c r="X142" s="14"/>
    </row>
    <row r="143" spans="1:24" s="15" customFormat="1" ht="23.25" x14ac:dyDescent="0.25">
      <c r="A143" s="16">
        <v>83</v>
      </c>
      <c r="B143" s="310" t="s">
        <v>25</v>
      </c>
      <c r="C143" s="60">
        <v>1</v>
      </c>
      <c r="D143" s="60" t="s">
        <v>70</v>
      </c>
      <c r="E143" s="60">
        <v>1.2</v>
      </c>
      <c r="F143" s="66">
        <v>41.43</v>
      </c>
      <c r="G143" s="61">
        <v>6885.67</v>
      </c>
      <c r="H143" s="311">
        <v>6885.67</v>
      </c>
      <c r="I143" s="348">
        <v>275.43</v>
      </c>
      <c r="J143" s="64"/>
      <c r="K143" s="61">
        <v>0</v>
      </c>
      <c r="L143" s="63"/>
      <c r="M143" s="63"/>
      <c r="N143" s="63"/>
      <c r="O143" s="63"/>
      <c r="P143" s="61"/>
      <c r="Q143" s="61">
        <v>227.87</v>
      </c>
      <c r="R143" s="63"/>
      <c r="S143" s="358"/>
      <c r="T143" s="359"/>
      <c r="U143" s="312">
        <v>7388.97</v>
      </c>
      <c r="V143" s="311">
        <v>44.333820000000003</v>
      </c>
      <c r="W143" s="14"/>
      <c r="X143" s="14"/>
    </row>
    <row r="144" spans="1:24" s="15" customFormat="1" ht="23.25" x14ac:dyDescent="0.25">
      <c r="A144" s="16">
        <v>84</v>
      </c>
      <c r="B144" s="310" t="s">
        <v>20</v>
      </c>
      <c r="C144" s="60">
        <v>4</v>
      </c>
      <c r="D144" s="60" t="s">
        <v>70</v>
      </c>
      <c r="E144" s="60">
        <v>1.2</v>
      </c>
      <c r="F144" s="66">
        <v>41.43</v>
      </c>
      <c r="G144" s="61">
        <v>6885.67</v>
      </c>
      <c r="H144" s="311">
        <v>27542.68</v>
      </c>
      <c r="I144" s="348">
        <v>1101.71</v>
      </c>
      <c r="J144" s="64"/>
      <c r="K144" s="61">
        <v>0</v>
      </c>
      <c r="L144" s="63"/>
      <c r="M144" s="63"/>
      <c r="N144" s="63"/>
      <c r="O144" s="63"/>
      <c r="P144" s="61">
        <v>2822.76</v>
      </c>
      <c r="Q144" s="61">
        <v>729.17</v>
      </c>
      <c r="R144" s="63"/>
      <c r="S144" s="358"/>
      <c r="T144" s="359"/>
      <c r="U144" s="312">
        <v>32196.32</v>
      </c>
      <c r="V144" s="311">
        <v>193.17791999999997</v>
      </c>
      <c r="W144" s="14"/>
      <c r="X144" s="14"/>
    </row>
    <row r="145" spans="1:24" s="15" customFormat="1" x14ac:dyDescent="0.25">
      <c r="A145" s="16">
        <v>85</v>
      </c>
      <c r="B145" s="310" t="s">
        <v>26</v>
      </c>
      <c r="C145" s="60">
        <v>2</v>
      </c>
      <c r="D145" s="60" t="s">
        <v>115</v>
      </c>
      <c r="E145" s="60">
        <v>1.35</v>
      </c>
      <c r="F145" s="66">
        <v>46.61</v>
      </c>
      <c r="G145" s="61">
        <v>7746.58</v>
      </c>
      <c r="H145" s="311">
        <v>15493.16</v>
      </c>
      <c r="I145" s="348">
        <v>1239.45</v>
      </c>
      <c r="J145" s="64"/>
      <c r="K145" s="61">
        <v>0</v>
      </c>
      <c r="L145" s="63"/>
      <c r="M145" s="63"/>
      <c r="N145" s="63"/>
      <c r="O145" s="63"/>
      <c r="P145" s="61"/>
      <c r="Q145" s="61">
        <v>512.71</v>
      </c>
      <c r="R145" s="63"/>
      <c r="S145" s="358"/>
      <c r="T145" s="359"/>
      <c r="U145" s="312">
        <v>17245.32</v>
      </c>
      <c r="V145" s="311">
        <v>103.47192</v>
      </c>
      <c r="W145" s="14"/>
      <c r="X145" s="14"/>
    </row>
    <row r="146" spans="1:24" s="15" customFormat="1" ht="23.25" x14ac:dyDescent="0.25">
      <c r="A146" s="16">
        <v>86</v>
      </c>
      <c r="B146" s="310" t="s">
        <v>20</v>
      </c>
      <c r="C146" s="60">
        <v>1</v>
      </c>
      <c r="D146" s="60" t="s">
        <v>70</v>
      </c>
      <c r="E146" s="60">
        <v>1.2</v>
      </c>
      <c r="F146" s="66">
        <v>41.43</v>
      </c>
      <c r="G146" s="61">
        <v>6885.67</v>
      </c>
      <c r="H146" s="311">
        <v>6885.67</v>
      </c>
      <c r="I146" s="348">
        <v>275.43</v>
      </c>
      <c r="J146" s="64"/>
      <c r="K146" s="61">
        <v>0</v>
      </c>
      <c r="L146" s="63"/>
      <c r="M146" s="63"/>
      <c r="N146" s="63"/>
      <c r="O146" s="63"/>
      <c r="P146" s="61">
        <v>705.69</v>
      </c>
      <c r="Q146" s="61">
        <v>182.29</v>
      </c>
      <c r="R146" s="63"/>
      <c r="S146" s="358"/>
      <c r="T146" s="359"/>
      <c r="U146" s="312">
        <v>8049.0800000000008</v>
      </c>
      <c r="V146" s="311">
        <v>48.29448</v>
      </c>
      <c r="W146" s="14"/>
      <c r="X146" s="14"/>
    </row>
    <row r="147" spans="1:24" s="18" customFormat="1" ht="15.75" customHeight="1" x14ac:dyDescent="0.25">
      <c r="A147" s="16"/>
      <c r="B147" s="481" t="s">
        <v>63</v>
      </c>
      <c r="C147" s="60"/>
      <c r="D147" s="60"/>
      <c r="E147" s="60"/>
      <c r="F147" s="60"/>
      <c r="G147" s="61"/>
      <c r="H147" s="311"/>
      <c r="I147" s="312"/>
      <c r="J147" s="64"/>
      <c r="K147" s="61"/>
      <c r="L147" s="63"/>
      <c r="M147" s="63"/>
      <c r="N147" s="63"/>
      <c r="O147" s="63"/>
      <c r="P147" s="63"/>
      <c r="Q147" s="63"/>
      <c r="R147" s="63"/>
      <c r="S147" s="358"/>
      <c r="T147" s="359"/>
      <c r="U147" s="312"/>
      <c r="V147" s="311"/>
      <c r="W147" s="17"/>
      <c r="X147" s="17"/>
    </row>
    <row r="148" spans="1:24" s="15" customFormat="1" ht="24" thickBot="1" x14ac:dyDescent="0.3">
      <c r="A148" s="33">
        <v>87</v>
      </c>
      <c r="B148" s="319" t="s">
        <v>32</v>
      </c>
      <c r="C148" s="320">
        <v>1</v>
      </c>
      <c r="D148" s="320">
        <v>1.05</v>
      </c>
      <c r="E148" s="320"/>
      <c r="F148" s="320"/>
      <c r="G148" s="321">
        <v>3814</v>
      </c>
      <c r="H148" s="322">
        <v>3814</v>
      </c>
      <c r="I148" s="348">
        <v>152.56</v>
      </c>
      <c r="J148" s="433"/>
      <c r="K148" s="321">
        <v>0</v>
      </c>
      <c r="L148" s="434"/>
      <c r="M148" s="434"/>
      <c r="N148" s="434"/>
      <c r="O148" s="434"/>
      <c r="P148" s="434"/>
      <c r="Q148" s="434"/>
      <c r="R148" s="434"/>
      <c r="S148" s="311">
        <v>2186</v>
      </c>
      <c r="T148" s="451"/>
      <c r="U148" s="432">
        <v>6152.5599999999995</v>
      </c>
      <c r="V148" s="322">
        <v>36.91536</v>
      </c>
      <c r="W148" s="14"/>
      <c r="X148" s="14"/>
    </row>
    <row r="149" spans="1:24" s="18" customFormat="1" ht="35.25" thickBot="1" x14ac:dyDescent="0.3">
      <c r="A149" s="362"/>
      <c r="B149" s="455" t="s">
        <v>149</v>
      </c>
      <c r="C149" s="457">
        <v>35</v>
      </c>
      <c r="D149" s="457"/>
      <c r="E149" s="457"/>
      <c r="F149" s="457"/>
      <c r="G149" s="325">
        <v>102397.20999999999</v>
      </c>
      <c r="H149" s="490">
        <v>239369.32000000004</v>
      </c>
      <c r="I149" s="367">
        <v>15141.03</v>
      </c>
      <c r="J149" s="365"/>
      <c r="K149" s="365">
        <v>0</v>
      </c>
      <c r="L149" s="365">
        <v>0</v>
      </c>
      <c r="M149" s="365">
        <v>0</v>
      </c>
      <c r="N149" s="365">
        <v>0</v>
      </c>
      <c r="O149" s="365">
        <v>0</v>
      </c>
      <c r="P149" s="365">
        <v>17576.91</v>
      </c>
      <c r="Q149" s="365">
        <v>7274.87</v>
      </c>
      <c r="R149" s="365">
        <v>0</v>
      </c>
      <c r="S149" s="368">
        <v>2186</v>
      </c>
      <c r="T149" s="369"/>
      <c r="U149" s="370">
        <v>281548.13000000006</v>
      </c>
      <c r="V149" s="368">
        <v>1689.2887799999999</v>
      </c>
      <c r="W149" s="17"/>
      <c r="X149" s="17"/>
    </row>
    <row r="150" spans="1:24" s="39" customFormat="1" ht="24" thickBot="1" x14ac:dyDescent="0.3">
      <c r="A150" s="414"/>
      <c r="B150" s="476" t="s">
        <v>64</v>
      </c>
      <c r="C150" s="477">
        <v>38</v>
      </c>
      <c r="D150" s="477"/>
      <c r="E150" s="477"/>
      <c r="F150" s="477"/>
      <c r="G150" s="478">
        <v>126499.20999999999</v>
      </c>
      <c r="H150" s="420">
        <v>273800.32000000007</v>
      </c>
      <c r="I150" s="415">
        <v>15141.03</v>
      </c>
      <c r="J150" s="478"/>
      <c r="K150" s="478">
        <v>0</v>
      </c>
      <c r="L150" s="478">
        <v>0</v>
      </c>
      <c r="M150" s="478">
        <v>0</v>
      </c>
      <c r="N150" s="478">
        <v>0</v>
      </c>
      <c r="O150" s="478">
        <v>0</v>
      </c>
      <c r="P150" s="478">
        <v>17576.91</v>
      </c>
      <c r="Q150" s="478">
        <v>7730.62</v>
      </c>
      <c r="R150" s="478">
        <v>0</v>
      </c>
      <c r="S150" s="420">
        <v>2186</v>
      </c>
      <c r="T150" s="484"/>
      <c r="U150" s="491">
        <v>316434.88000000006</v>
      </c>
      <c r="V150" s="420">
        <v>1898.6092799999999</v>
      </c>
      <c r="W150" s="38"/>
      <c r="X150" s="38"/>
    </row>
    <row r="151" spans="1:24" s="18" customFormat="1" ht="23.25" thickBot="1" x14ac:dyDescent="0.3">
      <c r="A151" s="362"/>
      <c r="B151" s="441" t="s">
        <v>66</v>
      </c>
      <c r="C151" s="364"/>
      <c r="D151" s="364"/>
      <c r="E151" s="364"/>
      <c r="F151" s="364"/>
      <c r="G151" s="365"/>
      <c r="H151" s="368"/>
      <c r="I151" s="367"/>
      <c r="J151" s="442"/>
      <c r="K151" s="442"/>
      <c r="L151" s="442"/>
      <c r="M151" s="442"/>
      <c r="N151" s="442"/>
      <c r="O151" s="442"/>
      <c r="P151" s="442"/>
      <c r="Q151" s="442"/>
      <c r="R151" s="442"/>
      <c r="S151" s="443"/>
      <c r="T151" s="444"/>
      <c r="U151" s="445"/>
      <c r="V151" s="368"/>
      <c r="W151" s="17"/>
      <c r="X151" s="17"/>
    </row>
    <row r="152" spans="1:24" s="15" customFormat="1" x14ac:dyDescent="0.25">
      <c r="A152" s="448">
        <v>88</v>
      </c>
      <c r="B152" s="492" t="s">
        <v>67</v>
      </c>
      <c r="C152" s="300">
        <v>1</v>
      </c>
      <c r="D152" s="300">
        <v>2.4</v>
      </c>
      <c r="E152" s="300"/>
      <c r="F152" s="300"/>
      <c r="G152" s="301">
        <v>13773</v>
      </c>
      <c r="H152" s="461">
        <v>13773</v>
      </c>
      <c r="I152" s="425"/>
      <c r="J152" s="422"/>
      <c r="K152" s="301">
        <v>0</v>
      </c>
      <c r="L152" s="423"/>
      <c r="M152" s="423"/>
      <c r="N152" s="423"/>
      <c r="O152" s="423"/>
      <c r="P152" s="423"/>
      <c r="Q152" s="423"/>
      <c r="R152" s="423"/>
      <c r="S152" s="461"/>
      <c r="T152" s="493"/>
      <c r="U152" s="425">
        <v>13773</v>
      </c>
      <c r="V152" s="311">
        <v>82.638000000000005</v>
      </c>
      <c r="W152" s="14"/>
      <c r="X152" s="14"/>
    </row>
    <row r="153" spans="1:24" s="15" customFormat="1" ht="16.5" thickBot="1" x14ac:dyDescent="0.3">
      <c r="A153" s="451">
        <v>89</v>
      </c>
      <c r="B153" s="494" t="s">
        <v>113</v>
      </c>
      <c r="C153" s="320">
        <v>2</v>
      </c>
      <c r="D153" s="320">
        <v>1.8</v>
      </c>
      <c r="E153" s="320"/>
      <c r="F153" s="320"/>
      <c r="G153" s="321">
        <v>10329</v>
      </c>
      <c r="H153" s="463">
        <v>20658</v>
      </c>
      <c r="I153" s="436"/>
      <c r="J153" s="433"/>
      <c r="K153" s="321">
        <v>0</v>
      </c>
      <c r="L153" s="434"/>
      <c r="M153" s="434"/>
      <c r="N153" s="434"/>
      <c r="O153" s="434"/>
      <c r="P153" s="434"/>
      <c r="Q153" s="61">
        <v>455.75</v>
      </c>
      <c r="R153" s="434"/>
      <c r="S153" s="435"/>
      <c r="T153" s="33"/>
      <c r="U153" s="436">
        <v>21113.75</v>
      </c>
      <c r="V153" s="311">
        <v>126.6825</v>
      </c>
      <c r="W153" s="14"/>
      <c r="X153" s="14"/>
    </row>
    <row r="154" spans="1:24" s="18" customFormat="1" ht="24" thickBot="1" x14ac:dyDescent="0.3">
      <c r="A154" s="318"/>
      <c r="B154" s="455" t="s">
        <v>150</v>
      </c>
      <c r="C154" s="456">
        <v>3</v>
      </c>
      <c r="D154" s="495"/>
      <c r="E154" s="495"/>
      <c r="F154" s="495"/>
      <c r="G154" s="325">
        <v>24102</v>
      </c>
      <c r="H154" s="458">
        <v>34431</v>
      </c>
      <c r="I154" s="440">
        <v>0</v>
      </c>
      <c r="J154" s="325"/>
      <c r="K154" s="325">
        <v>0</v>
      </c>
      <c r="L154" s="325">
        <v>0</v>
      </c>
      <c r="M154" s="325">
        <v>0</v>
      </c>
      <c r="N154" s="325">
        <v>0</v>
      </c>
      <c r="O154" s="325">
        <v>0</v>
      </c>
      <c r="P154" s="325">
        <v>0</v>
      </c>
      <c r="Q154" s="325">
        <v>455.75</v>
      </c>
      <c r="R154" s="325">
        <v>0</v>
      </c>
      <c r="S154" s="458">
        <v>0</v>
      </c>
      <c r="T154" s="489"/>
      <c r="U154" s="323">
        <v>34886.75</v>
      </c>
      <c r="V154" s="458">
        <v>209.32050000000001</v>
      </c>
      <c r="W154" s="17"/>
      <c r="X154" s="17"/>
    </row>
    <row r="155" spans="1:24" s="18" customFormat="1" ht="33" x14ac:dyDescent="0.25">
      <c r="A155" s="298"/>
      <c r="B155" s="460" t="s">
        <v>68</v>
      </c>
      <c r="C155" s="300"/>
      <c r="D155" s="300"/>
      <c r="E155" s="300"/>
      <c r="F155" s="300"/>
      <c r="G155" s="301"/>
      <c r="H155" s="302"/>
      <c r="I155" s="421"/>
      <c r="J155" s="423"/>
      <c r="K155" s="423"/>
      <c r="L155" s="423"/>
      <c r="M155" s="423"/>
      <c r="N155" s="423"/>
      <c r="O155" s="423"/>
      <c r="P155" s="423"/>
      <c r="Q155" s="423"/>
      <c r="R155" s="423"/>
      <c r="S155" s="447"/>
      <c r="T155" s="448"/>
      <c r="U155" s="462"/>
      <c r="V155" s="302"/>
      <c r="W155" s="17"/>
      <c r="X155" s="17"/>
    </row>
    <row r="156" spans="1:24" s="15" customFormat="1" ht="23.25" x14ac:dyDescent="0.25">
      <c r="A156" s="16">
        <v>90</v>
      </c>
      <c r="B156" s="310" t="s">
        <v>27</v>
      </c>
      <c r="C156" s="60">
        <v>7</v>
      </c>
      <c r="D156" s="60" t="s">
        <v>123</v>
      </c>
      <c r="E156" s="60">
        <v>1.54</v>
      </c>
      <c r="F156" s="66">
        <v>53.17</v>
      </c>
      <c r="G156" s="61">
        <v>8836.85</v>
      </c>
      <c r="H156" s="311">
        <v>61857.950000000004</v>
      </c>
      <c r="I156" s="348">
        <v>2474.3200000000002</v>
      </c>
      <c r="J156" s="64"/>
      <c r="K156" s="61">
        <v>0</v>
      </c>
      <c r="L156" s="63"/>
      <c r="M156" s="63"/>
      <c r="N156" s="63"/>
      <c r="O156" s="63"/>
      <c r="P156" s="63"/>
      <c r="Q156" s="61">
        <v>2047.05</v>
      </c>
      <c r="R156" s="63"/>
      <c r="S156" s="358"/>
      <c r="T156" s="359"/>
      <c r="U156" s="312">
        <v>66379.320000000007</v>
      </c>
      <c r="V156" s="311">
        <v>398.27592000000004</v>
      </c>
      <c r="W156" s="14"/>
      <c r="X156" s="14"/>
    </row>
    <row r="157" spans="1:24" s="41" customFormat="1" ht="23.25" x14ac:dyDescent="0.25">
      <c r="A157" s="496">
        <v>91</v>
      </c>
      <c r="B157" s="497" t="s">
        <v>27</v>
      </c>
      <c r="C157" s="67">
        <v>2</v>
      </c>
      <c r="D157" s="67" t="s">
        <v>115</v>
      </c>
      <c r="E157" s="67">
        <v>1.35</v>
      </c>
      <c r="F157" s="498">
        <v>46.61</v>
      </c>
      <c r="G157" s="499">
        <v>7746.58</v>
      </c>
      <c r="H157" s="500">
        <v>15493.16</v>
      </c>
      <c r="I157" s="348">
        <v>619.73</v>
      </c>
      <c r="J157" s="68"/>
      <c r="K157" s="499">
        <v>0</v>
      </c>
      <c r="L157" s="69"/>
      <c r="M157" s="69"/>
      <c r="N157" s="69"/>
      <c r="O157" s="69"/>
      <c r="P157" s="69"/>
      <c r="Q157" s="61">
        <v>512.71</v>
      </c>
      <c r="R157" s="69"/>
      <c r="S157" s="501"/>
      <c r="T157" s="502"/>
      <c r="U157" s="503">
        <v>16625.599999999999</v>
      </c>
      <c r="V157" s="311">
        <v>99.753599999999992</v>
      </c>
      <c r="W157" s="40"/>
      <c r="X157" s="40"/>
    </row>
    <row r="158" spans="1:24" s="15" customFormat="1" ht="23.25" x14ac:dyDescent="0.25">
      <c r="A158" s="16">
        <v>92</v>
      </c>
      <c r="B158" s="310" t="s">
        <v>27</v>
      </c>
      <c r="C158" s="60">
        <v>1</v>
      </c>
      <c r="D158" s="60" t="s">
        <v>70</v>
      </c>
      <c r="E158" s="60">
        <v>1.2</v>
      </c>
      <c r="F158" s="66">
        <v>41.43</v>
      </c>
      <c r="G158" s="61">
        <v>6885.67</v>
      </c>
      <c r="H158" s="311">
        <v>6885.67</v>
      </c>
      <c r="I158" s="348">
        <v>275.43</v>
      </c>
      <c r="J158" s="64"/>
      <c r="K158" s="61">
        <v>0</v>
      </c>
      <c r="L158" s="63"/>
      <c r="M158" s="63"/>
      <c r="N158" s="63"/>
      <c r="O158" s="63"/>
      <c r="P158" s="63"/>
      <c r="Q158" s="61">
        <v>227.87</v>
      </c>
      <c r="R158" s="63"/>
      <c r="S158" s="358"/>
      <c r="T158" s="359"/>
      <c r="U158" s="312">
        <v>7388.97</v>
      </c>
      <c r="V158" s="311">
        <v>44.333820000000003</v>
      </c>
      <c r="W158" s="14"/>
      <c r="X158" s="14"/>
    </row>
    <row r="159" spans="1:24" s="15" customFormat="1" x14ac:dyDescent="0.25">
      <c r="A159" s="16">
        <v>93</v>
      </c>
      <c r="B159" s="310" t="s">
        <v>29</v>
      </c>
      <c r="C159" s="60">
        <v>2</v>
      </c>
      <c r="D159" s="60" t="s">
        <v>123</v>
      </c>
      <c r="E159" s="60">
        <v>1.54</v>
      </c>
      <c r="F159" s="66">
        <v>53.17</v>
      </c>
      <c r="G159" s="61">
        <v>8836.85</v>
      </c>
      <c r="H159" s="311">
        <v>17673.7</v>
      </c>
      <c r="I159" s="348">
        <v>1413.9</v>
      </c>
      <c r="J159" s="64"/>
      <c r="K159" s="61">
        <v>0</v>
      </c>
      <c r="L159" s="63"/>
      <c r="M159" s="63"/>
      <c r="N159" s="63"/>
      <c r="O159" s="63"/>
      <c r="P159" s="63"/>
      <c r="Q159" s="63"/>
      <c r="R159" s="63"/>
      <c r="S159" s="358"/>
      <c r="T159" s="359"/>
      <c r="U159" s="312">
        <v>19087.600000000002</v>
      </c>
      <c r="V159" s="311">
        <v>114.52560000000001</v>
      </c>
      <c r="W159" s="14"/>
      <c r="X159" s="14"/>
    </row>
    <row r="160" spans="1:24" s="15" customFormat="1" ht="16.5" thickBot="1" x14ac:dyDescent="0.3">
      <c r="A160" s="33">
        <v>94</v>
      </c>
      <c r="B160" s="319" t="s">
        <v>29</v>
      </c>
      <c r="C160" s="320">
        <v>1</v>
      </c>
      <c r="D160" s="320" t="s">
        <v>70</v>
      </c>
      <c r="E160" s="320">
        <v>1.2</v>
      </c>
      <c r="F160" s="449">
        <v>41.43</v>
      </c>
      <c r="G160" s="321">
        <v>6885.67</v>
      </c>
      <c r="H160" s="322">
        <v>6885.67</v>
      </c>
      <c r="I160" s="348">
        <v>550.85</v>
      </c>
      <c r="J160" s="64"/>
      <c r="K160" s="321">
        <v>0</v>
      </c>
      <c r="L160" s="434"/>
      <c r="M160" s="434"/>
      <c r="N160" s="434"/>
      <c r="O160" s="434"/>
      <c r="P160" s="434"/>
      <c r="Q160" s="434"/>
      <c r="R160" s="434"/>
      <c r="S160" s="450"/>
      <c r="T160" s="451"/>
      <c r="U160" s="432">
        <v>7436.52</v>
      </c>
      <c r="V160" s="311">
        <v>44.619120000000002</v>
      </c>
      <c r="W160" s="14"/>
      <c r="X160" s="14"/>
    </row>
    <row r="161" spans="1:24" s="18" customFormat="1" ht="35.25" thickBot="1" x14ac:dyDescent="0.3">
      <c r="A161" s="362"/>
      <c r="B161" s="455" t="s">
        <v>151</v>
      </c>
      <c r="C161" s="504">
        <v>13</v>
      </c>
      <c r="D161" s="495"/>
      <c r="E161" s="495"/>
      <c r="F161" s="495"/>
      <c r="G161" s="495">
        <v>39191.619999999995</v>
      </c>
      <c r="H161" s="495">
        <v>108796.15</v>
      </c>
      <c r="I161" s="505">
        <v>5334.2300000000005</v>
      </c>
      <c r="J161" s="381"/>
      <c r="K161" s="381">
        <v>0</v>
      </c>
      <c r="L161" s="381">
        <v>0</v>
      </c>
      <c r="M161" s="381">
        <v>0</v>
      </c>
      <c r="N161" s="381">
        <v>0</v>
      </c>
      <c r="O161" s="381">
        <v>0</v>
      </c>
      <c r="P161" s="381">
        <v>0</v>
      </c>
      <c r="Q161" s="381">
        <v>2787.63</v>
      </c>
      <c r="R161" s="381">
        <v>0</v>
      </c>
      <c r="S161" s="381">
        <v>0</v>
      </c>
      <c r="T161" s="506">
        <v>0</v>
      </c>
      <c r="U161" s="507">
        <v>116918.01000000002</v>
      </c>
      <c r="V161" s="508">
        <v>701.50806000000011</v>
      </c>
      <c r="W161" s="17"/>
      <c r="X161" s="17"/>
    </row>
    <row r="162" spans="1:24" s="39" customFormat="1" ht="24" thickBot="1" x14ac:dyDescent="0.3">
      <c r="A162" s="414"/>
      <c r="B162" s="476" t="s">
        <v>152</v>
      </c>
      <c r="C162" s="509">
        <v>16</v>
      </c>
      <c r="D162" s="509"/>
      <c r="E162" s="509"/>
      <c r="F162" s="509"/>
      <c r="G162" s="478">
        <v>63293.619999999995</v>
      </c>
      <c r="H162" s="479">
        <v>143227.15</v>
      </c>
      <c r="I162" s="415">
        <v>5334.2300000000005</v>
      </c>
      <c r="J162" s="478"/>
      <c r="K162" s="478">
        <v>0</v>
      </c>
      <c r="L162" s="478">
        <v>0</v>
      </c>
      <c r="M162" s="478">
        <v>0</v>
      </c>
      <c r="N162" s="478">
        <v>0</v>
      </c>
      <c r="O162" s="478">
        <v>0</v>
      </c>
      <c r="P162" s="478">
        <v>0</v>
      </c>
      <c r="Q162" s="478">
        <v>3243.38</v>
      </c>
      <c r="R162" s="478">
        <v>0</v>
      </c>
      <c r="S162" s="478">
        <v>0</v>
      </c>
      <c r="T162" s="484"/>
      <c r="U162" s="491">
        <v>151804.76</v>
      </c>
      <c r="V162" s="420">
        <v>910.82856000000015</v>
      </c>
      <c r="W162" s="38"/>
      <c r="X162" s="38"/>
    </row>
    <row r="163" spans="1:24" s="18" customFormat="1" ht="16.5" thickBot="1" x14ac:dyDescent="0.3">
      <c r="A163" s="362"/>
      <c r="B163" s="441" t="s">
        <v>71</v>
      </c>
      <c r="C163" s="364"/>
      <c r="D163" s="364"/>
      <c r="E163" s="364"/>
      <c r="F163" s="364"/>
      <c r="G163" s="365"/>
      <c r="H163" s="366"/>
      <c r="I163" s="367"/>
      <c r="J163" s="442"/>
      <c r="K163" s="442"/>
      <c r="L163" s="442"/>
      <c r="M163" s="442"/>
      <c r="N163" s="442"/>
      <c r="O163" s="442"/>
      <c r="P163" s="442"/>
      <c r="Q163" s="442"/>
      <c r="R163" s="442"/>
      <c r="S163" s="443"/>
      <c r="T163" s="444"/>
      <c r="U163" s="445"/>
      <c r="V163" s="368"/>
      <c r="W163" s="17"/>
      <c r="X163" s="17"/>
    </row>
    <row r="164" spans="1:24" s="15" customFormat="1" x14ac:dyDescent="0.25">
      <c r="A164" s="34">
        <v>93</v>
      </c>
      <c r="B164" s="345" t="s">
        <v>18</v>
      </c>
      <c r="C164" s="346">
        <v>1</v>
      </c>
      <c r="D164" s="346">
        <v>2.4</v>
      </c>
      <c r="E164" s="346"/>
      <c r="F164" s="346"/>
      <c r="G164" s="61">
        <v>13773</v>
      </c>
      <c r="H164" s="347">
        <v>13773</v>
      </c>
      <c r="I164" s="348"/>
      <c r="J164" s="349"/>
      <c r="K164" s="350">
        <v>0</v>
      </c>
      <c r="L164" s="351"/>
      <c r="M164" s="351"/>
      <c r="N164" s="351"/>
      <c r="O164" s="351"/>
      <c r="P164" s="351"/>
      <c r="Q164" s="351"/>
      <c r="R164" s="351"/>
      <c r="S164" s="427"/>
      <c r="T164" s="475"/>
      <c r="U164" s="354">
        <v>13773</v>
      </c>
      <c r="V164" s="311">
        <v>82.638000000000005</v>
      </c>
      <c r="W164" s="14"/>
      <c r="X164" s="14"/>
    </row>
    <row r="165" spans="1:24" s="15" customFormat="1" x14ac:dyDescent="0.25">
      <c r="A165" s="16">
        <v>94</v>
      </c>
      <c r="B165" s="310" t="s">
        <v>153</v>
      </c>
      <c r="C165" s="60">
        <v>1</v>
      </c>
      <c r="D165" s="65">
        <v>1.8</v>
      </c>
      <c r="E165" s="60"/>
      <c r="F165" s="60"/>
      <c r="G165" s="61">
        <v>10329</v>
      </c>
      <c r="H165" s="356">
        <v>10329</v>
      </c>
      <c r="I165" s="357"/>
      <c r="J165" s="64"/>
      <c r="K165" s="61">
        <v>0</v>
      </c>
      <c r="L165" s="63"/>
      <c r="M165" s="63"/>
      <c r="N165" s="63"/>
      <c r="O165" s="63"/>
      <c r="P165" s="63"/>
      <c r="Q165" s="63"/>
      <c r="R165" s="63"/>
      <c r="S165" s="358"/>
      <c r="T165" s="359"/>
      <c r="U165" s="312">
        <v>10329</v>
      </c>
      <c r="V165" s="311">
        <v>61.973999999999997</v>
      </c>
      <c r="W165" s="14"/>
      <c r="X165" s="14"/>
    </row>
    <row r="166" spans="1:24" s="15" customFormat="1" x14ac:dyDescent="0.25">
      <c r="A166" s="16">
        <v>95</v>
      </c>
      <c r="B166" s="310" t="s">
        <v>72</v>
      </c>
      <c r="C166" s="60">
        <v>1</v>
      </c>
      <c r="D166" s="60">
        <v>1.8</v>
      </c>
      <c r="E166" s="60"/>
      <c r="F166" s="60"/>
      <c r="G166" s="61">
        <v>10329</v>
      </c>
      <c r="H166" s="356">
        <v>10329</v>
      </c>
      <c r="I166" s="357"/>
      <c r="J166" s="64"/>
      <c r="K166" s="61">
        <v>0</v>
      </c>
      <c r="L166" s="63"/>
      <c r="M166" s="63"/>
      <c r="N166" s="63"/>
      <c r="O166" s="63"/>
      <c r="P166" s="61">
        <v>1323.23</v>
      </c>
      <c r="Q166" s="61">
        <v>341.81</v>
      </c>
      <c r="R166" s="63"/>
      <c r="S166" s="358"/>
      <c r="T166" s="359"/>
      <c r="U166" s="312">
        <v>11994.039999999999</v>
      </c>
      <c r="V166" s="311">
        <v>71.96423999999999</v>
      </c>
      <c r="W166" s="14"/>
      <c r="X166" s="14"/>
    </row>
    <row r="167" spans="1:24" s="15" customFormat="1" x14ac:dyDescent="0.25">
      <c r="A167" s="16">
        <v>96</v>
      </c>
      <c r="B167" s="310" t="s">
        <v>73</v>
      </c>
      <c r="C167" s="60">
        <v>3</v>
      </c>
      <c r="D167" s="60">
        <v>1.7</v>
      </c>
      <c r="E167" s="60"/>
      <c r="F167" s="60"/>
      <c r="G167" s="61">
        <v>9756</v>
      </c>
      <c r="H167" s="356">
        <v>29268</v>
      </c>
      <c r="I167" s="357"/>
      <c r="J167" s="64"/>
      <c r="K167" s="61">
        <v>0</v>
      </c>
      <c r="L167" s="63"/>
      <c r="M167" s="63"/>
      <c r="N167" s="63"/>
      <c r="O167" s="63"/>
      <c r="P167" s="61">
        <v>3749.49</v>
      </c>
      <c r="Q167" s="61">
        <v>968.56</v>
      </c>
      <c r="R167" s="63"/>
      <c r="S167" s="358"/>
      <c r="T167" s="359"/>
      <c r="U167" s="312">
        <v>33986.049999999996</v>
      </c>
      <c r="V167" s="311">
        <v>203.91629999999998</v>
      </c>
      <c r="W167" s="14"/>
      <c r="X167" s="14"/>
    </row>
    <row r="168" spans="1:24" s="15" customFormat="1" ht="16.5" thickBot="1" x14ac:dyDescent="0.3">
      <c r="A168" s="371">
        <v>97</v>
      </c>
      <c r="B168" s="372" t="s">
        <v>74</v>
      </c>
      <c r="C168" s="373">
        <v>0.5</v>
      </c>
      <c r="D168" s="373">
        <v>1.5</v>
      </c>
      <c r="E168" s="373"/>
      <c r="F168" s="373"/>
      <c r="G168" s="61">
        <v>8608</v>
      </c>
      <c r="H168" s="374">
        <v>4304</v>
      </c>
      <c r="I168" s="375"/>
      <c r="J168" s="376"/>
      <c r="K168" s="377">
        <v>0</v>
      </c>
      <c r="L168" s="378"/>
      <c r="M168" s="378"/>
      <c r="N168" s="378"/>
      <c r="O168" s="378"/>
      <c r="P168" s="377"/>
      <c r="Q168" s="377"/>
      <c r="R168" s="378"/>
      <c r="S168" s="379"/>
      <c r="T168" s="380"/>
      <c r="U168" s="312">
        <v>4304</v>
      </c>
      <c r="V168" s="311">
        <v>25.824000000000002</v>
      </c>
      <c r="W168" s="14"/>
      <c r="X168" s="14"/>
    </row>
    <row r="169" spans="1:24" s="18" customFormat="1" ht="39" customHeight="1" thickBot="1" x14ac:dyDescent="0.3">
      <c r="A169" s="362"/>
      <c r="B169" s="399" t="s">
        <v>154</v>
      </c>
      <c r="C169" s="400">
        <v>6.5</v>
      </c>
      <c r="D169" s="400"/>
      <c r="E169" s="400"/>
      <c r="F169" s="400"/>
      <c r="G169" s="401">
        <v>52795</v>
      </c>
      <c r="H169" s="402">
        <v>68003</v>
      </c>
      <c r="I169" s="367">
        <v>0</v>
      </c>
      <c r="J169" s="365"/>
      <c r="K169" s="365">
        <v>0</v>
      </c>
      <c r="L169" s="365">
        <v>0</v>
      </c>
      <c r="M169" s="365">
        <v>0</v>
      </c>
      <c r="N169" s="365">
        <v>0</v>
      </c>
      <c r="O169" s="365">
        <v>0</v>
      </c>
      <c r="P169" s="365">
        <v>5072.7199999999993</v>
      </c>
      <c r="Q169" s="365">
        <v>1310.3699999999999</v>
      </c>
      <c r="R169" s="365">
        <v>0</v>
      </c>
      <c r="S169" s="368">
        <v>0</v>
      </c>
      <c r="T169" s="369"/>
      <c r="U169" s="370">
        <v>74386.09</v>
      </c>
      <c r="V169" s="368">
        <v>446.31653999999997</v>
      </c>
      <c r="W169" s="17"/>
      <c r="X169" s="17"/>
    </row>
    <row r="170" spans="1:24" s="15" customFormat="1" x14ac:dyDescent="0.25">
      <c r="A170" s="298">
        <v>98</v>
      </c>
      <c r="B170" s="299" t="s">
        <v>75</v>
      </c>
      <c r="C170" s="300">
        <v>2</v>
      </c>
      <c r="D170" s="300" t="s">
        <v>123</v>
      </c>
      <c r="E170" s="300">
        <v>1.54</v>
      </c>
      <c r="F170" s="446">
        <v>53.17</v>
      </c>
      <c r="G170" s="301">
        <v>8836.85</v>
      </c>
      <c r="H170" s="302">
        <v>17673.7</v>
      </c>
      <c r="I170" s="425">
        <v>706.95</v>
      </c>
      <c r="J170" s="422"/>
      <c r="K170" s="301">
        <v>0</v>
      </c>
      <c r="L170" s="423"/>
      <c r="M170" s="423"/>
      <c r="N170" s="423"/>
      <c r="O170" s="423"/>
      <c r="P170" s="423"/>
      <c r="Q170" s="301">
        <v>584.87</v>
      </c>
      <c r="R170" s="423"/>
      <c r="S170" s="447"/>
      <c r="T170" s="448"/>
      <c r="U170" s="421">
        <v>18965.52</v>
      </c>
      <c r="V170" s="311">
        <v>113.79312</v>
      </c>
      <c r="W170" s="14"/>
      <c r="X170" s="14"/>
    </row>
    <row r="171" spans="1:24" s="15" customFormat="1" x14ac:dyDescent="0.25">
      <c r="A171" s="16">
        <v>99</v>
      </c>
      <c r="B171" s="310" t="s">
        <v>75</v>
      </c>
      <c r="C171" s="60">
        <v>2</v>
      </c>
      <c r="D171" s="60" t="s">
        <v>139</v>
      </c>
      <c r="E171" s="60">
        <v>1.8</v>
      </c>
      <c r="F171" s="66">
        <v>62.15</v>
      </c>
      <c r="G171" s="61">
        <v>10329.33</v>
      </c>
      <c r="H171" s="311">
        <v>20658.66</v>
      </c>
      <c r="I171" s="348">
        <v>826.35</v>
      </c>
      <c r="J171" s="64"/>
      <c r="K171" s="61">
        <v>0</v>
      </c>
      <c r="L171" s="63"/>
      <c r="M171" s="63"/>
      <c r="N171" s="63"/>
      <c r="O171" s="63"/>
      <c r="P171" s="63"/>
      <c r="Q171" s="61">
        <v>683.65</v>
      </c>
      <c r="R171" s="63"/>
      <c r="S171" s="358"/>
      <c r="T171" s="359"/>
      <c r="U171" s="312">
        <v>22168.66</v>
      </c>
      <c r="V171" s="311">
        <v>133.01195999999999</v>
      </c>
      <c r="W171" s="14"/>
      <c r="X171" s="14"/>
    </row>
    <row r="172" spans="1:24" s="15" customFormat="1" x14ac:dyDescent="0.25">
      <c r="A172" s="16">
        <v>100</v>
      </c>
      <c r="B172" s="310" t="s">
        <v>76</v>
      </c>
      <c r="C172" s="60">
        <v>1</v>
      </c>
      <c r="D172" s="60" t="s">
        <v>115</v>
      </c>
      <c r="E172" s="60">
        <v>1.35</v>
      </c>
      <c r="F172" s="66">
        <v>46.61</v>
      </c>
      <c r="G172" s="61">
        <v>7746.58</v>
      </c>
      <c r="H172" s="311">
        <v>7746.58</v>
      </c>
      <c r="I172" s="348">
        <v>309.86</v>
      </c>
      <c r="J172" s="64"/>
      <c r="K172" s="61">
        <v>0</v>
      </c>
      <c r="L172" s="63"/>
      <c r="M172" s="63"/>
      <c r="N172" s="63"/>
      <c r="O172" s="63"/>
      <c r="P172" s="63"/>
      <c r="Q172" s="61"/>
      <c r="R172" s="63"/>
      <c r="S172" s="358"/>
      <c r="T172" s="359"/>
      <c r="U172" s="312">
        <v>8056.44</v>
      </c>
      <c r="V172" s="311">
        <v>48.338639999999998</v>
      </c>
      <c r="W172" s="14"/>
      <c r="X172" s="14"/>
    </row>
    <row r="173" spans="1:24" s="15" customFormat="1" x14ac:dyDescent="0.25">
      <c r="A173" s="16">
        <v>101</v>
      </c>
      <c r="B173" s="310" t="s">
        <v>30</v>
      </c>
      <c r="C173" s="60">
        <v>1</v>
      </c>
      <c r="D173" s="60" t="s">
        <v>123</v>
      </c>
      <c r="E173" s="60">
        <v>1.54</v>
      </c>
      <c r="F173" s="66">
        <v>53.17</v>
      </c>
      <c r="G173" s="61">
        <v>8836.85</v>
      </c>
      <c r="H173" s="311">
        <v>8836.85</v>
      </c>
      <c r="I173" s="348">
        <v>353.47</v>
      </c>
      <c r="J173" s="64"/>
      <c r="K173" s="61">
        <v>0</v>
      </c>
      <c r="L173" s="63"/>
      <c r="M173" s="63"/>
      <c r="N173" s="63"/>
      <c r="O173" s="63"/>
      <c r="P173" s="63"/>
      <c r="Q173" s="63"/>
      <c r="R173" s="63"/>
      <c r="S173" s="358"/>
      <c r="T173" s="359"/>
      <c r="U173" s="312">
        <v>9190.32</v>
      </c>
      <c r="V173" s="311">
        <v>55.141919999999999</v>
      </c>
      <c r="W173" s="14"/>
      <c r="X173" s="14"/>
    </row>
    <row r="174" spans="1:24" s="15" customFormat="1" ht="37.5" customHeight="1" x14ac:dyDescent="0.25">
      <c r="A174" s="16">
        <v>102</v>
      </c>
      <c r="B174" s="310" t="s">
        <v>77</v>
      </c>
      <c r="C174" s="60">
        <v>1</v>
      </c>
      <c r="D174" s="60" t="s">
        <v>123</v>
      </c>
      <c r="E174" s="60">
        <v>1.54</v>
      </c>
      <c r="F174" s="66">
        <v>53.17</v>
      </c>
      <c r="G174" s="61">
        <v>8836.85</v>
      </c>
      <c r="H174" s="311">
        <v>8836.85</v>
      </c>
      <c r="I174" s="348">
        <v>706.95</v>
      </c>
      <c r="J174" s="64"/>
      <c r="K174" s="61">
        <v>0</v>
      </c>
      <c r="L174" s="63"/>
      <c r="M174" s="63"/>
      <c r="N174" s="63"/>
      <c r="O174" s="63"/>
      <c r="P174" s="63"/>
      <c r="Q174" s="63"/>
      <c r="R174" s="63"/>
      <c r="S174" s="358"/>
      <c r="T174" s="359"/>
      <c r="U174" s="312">
        <v>9543.8000000000011</v>
      </c>
      <c r="V174" s="311">
        <v>57.262800000000006</v>
      </c>
      <c r="W174" s="14"/>
      <c r="X174" s="14"/>
    </row>
    <row r="175" spans="1:24" s="15" customFormat="1" ht="23.25" x14ac:dyDescent="0.25">
      <c r="A175" s="16">
        <v>103</v>
      </c>
      <c r="B175" s="310" t="s">
        <v>155</v>
      </c>
      <c r="C175" s="60">
        <v>1</v>
      </c>
      <c r="D175" s="60">
        <v>1.58</v>
      </c>
      <c r="E175" s="60"/>
      <c r="F175" s="66">
        <v>34.53</v>
      </c>
      <c r="G175" s="61">
        <v>5738.89</v>
      </c>
      <c r="H175" s="311">
        <v>5738.89</v>
      </c>
      <c r="I175" s="348">
        <v>229.56</v>
      </c>
      <c r="J175" s="64"/>
      <c r="K175" s="61">
        <v>0</v>
      </c>
      <c r="L175" s="63">
        <v>1434.72</v>
      </c>
      <c r="M175" s="63"/>
      <c r="N175" s="63"/>
      <c r="O175" s="63"/>
      <c r="P175" s="63"/>
      <c r="Q175" s="63"/>
      <c r="R175" s="61">
        <v>1434.72</v>
      </c>
      <c r="S175" s="358"/>
      <c r="T175" s="359"/>
      <c r="U175" s="312">
        <v>8837.8900000000012</v>
      </c>
      <c r="V175" s="311">
        <v>53.027340000000009</v>
      </c>
      <c r="W175" s="14"/>
      <c r="X175" s="14"/>
    </row>
    <row r="176" spans="1:24" s="15" customFormat="1" ht="23.25" x14ac:dyDescent="0.25">
      <c r="A176" s="16">
        <v>104</v>
      </c>
      <c r="B176" s="310" t="s">
        <v>156</v>
      </c>
      <c r="C176" s="60">
        <v>8</v>
      </c>
      <c r="D176" s="60">
        <v>1.76</v>
      </c>
      <c r="E176" s="60"/>
      <c r="F176" s="66">
        <v>38.46</v>
      </c>
      <c r="G176" s="61">
        <v>6392.05</v>
      </c>
      <c r="H176" s="311">
        <v>51136.4</v>
      </c>
      <c r="I176" s="348">
        <v>2045.46</v>
      </c>
      <c r="J176" s="64"/>
      <c r="K176" s="61">
        <v>0</v>
      </c>
      <c r="L176" s="63">
        <v>12784.1</v>
      </c>
      <c r="M176" s="63"/>
      <c r="N176" s="63"/>
      <c r="O176" s="63"/>
      <c r="P176" s="61">
        <v>6551.02</v>
      </c>
      <c r="Q176" s="61">
        <v>1692.24</v>
      </c>
      <c r="R176" s="63"/>
      <c r="S176" s="358"/>
      <c r="T176" s="359"/>
      <c r="U176" s="312">
        <v>74209.220000000016</v>
      </c>
      <c r="V176" s="311">
        <v>445.25532000000004</v>
      </c>
      <c r="W176" s="14"/>
      <c r="X176" s="14"/>
    </row>
    <row r="177" spans="1:24" s="15" customFormat="1" ht="54.75" customHeight="1" x14ac:dyDescent="0.25">
      <c r="A177" s="34">
        <v>105</v>
      </c>
      <c r="B177" s="510" t="s">
        <v>157</v>
      </c>
      <c r="C177" s="60">
        <v>1</v>
      </c>
      <c r="D177" s="346">
        <v>2.14</v>
      </c>
      <c r="E177" s="346"/>
      <c r="F177" s="482">
        <v>46.77</v>
      </c>
      <c r="G177" s="350">
        <v>7773.17</v>
      </c>
      <c r="H177" s="427">
        <v>7773.17</v>
      </c>
      <c r="I177" s="348">
        <v>310.93</v>
      </c>
      <c r="J177" s="349"/>
      <c r="K177" s="350">
        <v>0</v>
      </c>
      <c r="L177" s="351">
        <v>1943.29</v>
      </c>
      <c r="M177" s="351"/>
      <c r="N177" s="351"/>
      <c r="O177" s="351"/>
      <c r="P177" s="351"/>
      <c r="Q177" s="61">
        <v>257.24</v>
      </c>
      <c r="R177" s="351"/>
      <c r="S177" s="352"/>
      <c r="T177" s="383"/>
      <c r="U177" s="348">
        <v>10284.629999999999</v>
      </c>
      <c r="V177" s="311">
        <v>61.70778</v>
      </c>
      <c r="W177" s="14"/>
      <c r="X177" s="14"/>
    </row>
    <row r="178" spans="1:24" s="15" customFormat="1" ht="34.5" x14ac:dyDescent="0.25">
      <c r="A178" s="16">
        <v>106</v>
      </c>
      <c r="B178" s="511" t="s">
        <v>158</v>
      </c>
      <c r="C178" s="60">
        <v>2</v>
      </c>
      <c r="D178" s="60">
        <v>2.2200000000000002</v>
      </c>
      <c r="E178" s="60"/>
      <c r="F178" s="66">
        <v>48.51</v>
      </c>
      <c r="G178" s="61">
        <v>8062.36</v>
      </c>
      <c r="H178" s="311">
        <v>16124.72</v>
      </c>
      <c r="I178" s="348">
        <v>644.99</v>
      </c>
      <c r="J178" s="64"/>
      <c r="K178" s="61">
        <v>0</v>
      </c>
      <c r="L178" s="63">
        <v>4031.18</v>
      </c>
      <c r="M178" s="63"/>
      <c r="N178" s="63"/>
      <c r="O178" s="63"/>
      <c r="P178" s="61">
        <v>2065.7199999999998</v>
      </c>
      <c r="Q178" s="61">
        <v>533.61</v>
      </c>
      <c r="R178" s="63"/>
      <c r="S178" s="358"/>
      <c r="T178" s="512"/>
      <c r="U178" s="357">
        <v>23400.22</v>
      </c>
      <c r="V178" s="311">
        <v>140.40132</v>
      </c>
      <c r="W178" s="14"/>
      <c r="X178" s="14"/>
    </row>
    <row r="179" spans="1:24" s="15" customFormat="1" x14ac:dyDescent="0.25">
      <c r="A179" s="16">
        <v>107</v>
      </c>
      <c r="B179" s="511" t="s">
        <v>78</v>
      </c>
      <c r="C179" s="60">
        <v>1</v>
      </c>
      <c r="D179" s="60">
        <v>1.26</v>
      </c>
      <c r="E179" s="60"/>
      <c r="F179" s="60"/>
      <c r="G179" s="61">
        <v>4576</v>
      </c>
      <c r="H179" s="311">
        <v>4576</v>
      </c>
      <c r="I179" s="348">
        <v>183.04</v>
      </c>
      <c r="J179" s="64"/>
      <c r="K179" s="61">
        <v>0</v>
      </c>
      <c r="L179" s="63"/>
      <c r="M179" s="63"/>
      <c r="N179" s="63"/>
      <c r="O179" s="63"/>
      <c r="P179" s="63"/>
      <c r="Q179" s="351"/>
      <c r="R179" s="63"/>
      <c r="S179" s="311">
        <v>1424</v>
      </c>
      <c r="T179" s="512"/>
      <c r="U179" s="357">
        <v>6183.04</v>
      </c>
      <c r="V179" s="311">
        <v>37.098239999999997</v>
      </c>
      <c r="W179" s="14"/>
      <c r="X179" s="14"/>
    </row>
    <row r="180" spans="1:24" s="15" customFormat="1" ht="24" thickBot="1" x14ac:dyDescent="0.3">
      <c r="A180" s="33">
        <v>108</v>
      </c>
      <c r="B180" s="513" t="s">
        <v>32</v>
      </c>
      <c r="C180" s="320">
        <v>1</v>
      </c>
      <c r="D180" s="320">
        <v>1.05</v>
      </c>
      <c r="E180" s="320"/>
      <c r="F180" s="320"/>
      <c r="G180" s="321">
        <v>3814</v>
      </c>
      <c r="H180" s="322">
        <v>3814</v>
      </c>
      <c r="I180" s="440">
        <v>152.56</v>
      </c>
      <c r="J180" s="433"/>
      <c r="K180" s="321">
        <v>0</v>
      </c>
      <c r="L180" s="434"/>
      <c r="M180" s="434"/>
      <c r="N180" s="434"/>
      <c r="O180" s="434"/>
      <c r="P180" s="434"/>
      <c r="Q180" s="434"/>
      <c r="R180" s="434"/>
      <c r="S180" s="322">
        <v>2186</v>
      </c>
      <c r="T180" s="514"/>
      <c r="U180" s="436">
        <v>6152.5599999999995</v>
      </c>
      <c r="V180" s="311">
        <v>36.91536</v>
      </c>
      <c r="W180" s="14"/>
      <c r="X180" s="14"/>
    </row>
    <row r="181" spans="1:24" s="18" customFormat="1" ht="38.25" customHeight="1" thickBot="1" x14ac:dyDescent="0.3">
      <c r="A181" s="318"/>
      <c r="B181" s="515" t="s">
        <v>159</v>
      </c>
      <c r="C181" s="516">
        <v>21</v>
      </c>
      <c r="D181" s="457"/>
      <c r="E181" s="457"/>
      <c r="F181" s="457"/>
      <c r="G181" s="325">
        <v>80942.929999999993</v>
      </c>
      <c r="H181" s="458">
        <v>152915.81999999998</v>
      </c>
      <c r="I181" s="440">
        <v>6470.1200000000008</v>
      </c>
      <c r="J181" s="325"/>
      <c r="K181" s="325">
        <v>0</v>
      </c>
      <c r="L181" s="325">
        <v>20193.29</v>
      </c>
      <c r="M181" s="325">
        <v>0</v>
      </c>
      <c r="N181" s="325">
        <v>0</v>
      </c>
      <c r="O181" s="325">
        <v>0</v>
      </c>
      <c r="P181" s="325">
        <v>8616.74</v>
      </c>
      <c r="Q181" s="325">
        <v>3751.61</v>
      </c>
      <c r="R181" s="325">
        <v>1434.72</v>
      </c>
      <c r="S181" s="490">
        <v>3610</v>
      </c>
      <c r="T181" s="489">
        <v>0</v>
      </c>
      <c r="U181" s="323">
        <v>196992.30000000005</v>
      </c>
      <c r="V181" s="458">
        <v>1181.9538</v>
      </c>
      <c r="W181" s="17"/>
      <c r="X181" s="17"/>
    </row>
    <row r="182" spans="1:24" s="39" customFormat="1" ht="39" customHeight="1" thickBot="1" x14ac:dyDescent="0.3">
      <c r="A182" s="517">
        <v>8</v>
      </c>
      <c r="B182" s="518" t="s">
        <v>79</v>
      </c>
      <c r="C182" s="519">
        <v>27.5</v>
      </c>
      <c r="D182" s="520"/>
      <c r="E182" s="520"/>
      <c r="F182" s="520"/>
      <c r="G182" s="521">
        <v>133737.93</v>
      </c>
      <c r="H182" s="522">
        <v>220918.81999999998</v>
      </c>
      <c r="I182" s="523">
        <v>6470.1200000000008</v>
      </c>
      <c r="J182" s="524"/>
      <c r="K182" s="524">
        <v>0</v>
      </c>
      <c r="L182" s="524">
        <v>20193.29</v>
      </c>
      <c r="M182" s="524">
        <v>0</v>
      </c>
      <c r="N182" s="524">
        <v>0</v>
      </c>
      <c r="O182" s="524">
        <v>0</v>
      </c>
      <c r="P182" s="524">
        <v>13689.46</v>
      </c>
      <c r="Q182" s="524">
        <v>5061.9799999999996</v>
      </c>
      <c r="R182" s="524">
        <v>1434.72</v>
      </c>
      <c r="S182" s="525">
        <v>3610</v>
      </c>
      <c r="T182" s="525">
        <v>0</v>
      </c>
      <c r="U182" s="526">
        <v>271378.39</v>
      </c>
      <c r="V182" s="525">
        <v>1628.27034</v>
      </c>
      <c r="W182" s="38"/>
      <c r="X182" s="38"/>
    </row>
    <row r="183" spans="1:24" s="39" customFormat="1" ht="22.5" x14ac:dyDescent="0.25">
      <c r="A183" s="527"/>
      <c r="B183" s="528" t="s">
        <v>160</v>
      </c>
      <c r="C183" s="529">
        <v>55</v>
      </c>
      <c r="D183" s="530"/>
      <c r="E183" s="530"/>
      <c r="F183" s="530"/>
      <c r="G183" s="521">
        <v>584298</v>
      </c>
      <c r="H183" s="522">
        <v>627136</v>
      </c>
      <c r="I183" s="531">
        <v>0</v>
      </c>
      <c r="J183" s="521"/>
      <c r="K183" s="521">
        <v>0</v>
      </c>
      <c r="L183" s="521">
        <v>0</v>
      </c>
      <c r="M183" s="521">
        <v>0</v>
      </c>
      <c r="N183" s="521">
        <v>0</v>
      </c>
      <c r="O183" s="521">
        <v>0</v>
      </c>
      <c r="P183" s="521">
        <v>5072.7199999999993</v>
      </c>
      <c r="Q183" s="521">
        <v>2677.62</v>
      </c>
      <c r="R183" s="521">
        <v>0</v>
      </c>
      <c r="S183" s="522">
        <v>0</v>
      </c>
      <c r="T183" s="522">
        <v>0</v>
      </c>
      <c r="U183" s="531">
        <v>634886.34</v>
      </c>
      <c r="V183" s="522">
        <v>3809.3180399999997</v>
      </c>
      <c r="W183" s="38"/>
      <c r="X183" s="38"/>
    </row>
    <row r="184" spans="1:24" s="39" customFormat="1" ht="33" x14ac:dyDescent="0.25">
      <c r="A184" s="532"/>
      <c r="B184" s="533" t="s">
        <v>161</v>
      </c>
      <c r="C184" s="534">
        <v>141</v>
      </c>
      <c r="D184" s="120"/>
      <c r="E184" s="120"/>
      <c r="F184" s="120"/>
      <c r="G184" s="102">
        <v>428775.45</v>
      </c>
      <c r="H184" s="535">
        <v>1020858.9400000001</v>
      </c>
      <c r="I184" s="536">
        <v>46713.310000000005</v>
      </c>
      <c r="J184" s="102"/>
      <c r="K184" s="102">
        <v>0</v>
      </c>
      <c r="L184" s="102">
        <v>20193.29</v>
      </c>
      <c r="M184" s="102">
        <v>0</v>
      </c>
      <c r="N184" s="102">
        <v>0</v>
      </c>
      <c r="O184" s="102">
        <v>0</v>
      </c>
      <c r="P184" s="102">
        <v>51869.32</v>
      </c>
      <c r="Q184" s="102">
        <v>21358.030000000002</v>
      </c>
      <c r="R184" s="102">
        <v>1434.72</v>
      </c>
      <c r="S184" s="535">
        <v>9406</v>
      </c>
      <c r="T184" s="535">
        <v>0</v>
      </c>
      <c r="U184" s="536">
        <v>1171833.6100000001</v>
      </c>
      <c r="V184" s="535">
        <v>7031.0016599999999</v>
      </c>
      <c r="W184" s="38"/>
      <c r="X184" s="38"/>
    </row>
    <row r="185" spans="1:24" s="39" customFormat="1" ht="23.25" thickBot="1" x14ac:dyDescent="0.3">
      <c r="A185" s="537"/>
      <c r="B185" s="538" t="s">
        <v>162</v>
      </c>
      <c r="C185" s="539">
        <v>196</v>
      </c>
      <c r="D185" s="540"/>
      <c r="E185" s="540"/>
      <c r="F185" s="540"/>
      <c r="G185" s="541">
        <v>1013073.4500000001</v>
      </c>
      <c r="H185" s="542">
        <v>1647994.9400000002</v>
      </c>
      <c r="I185" s="543">
        <v>46713.310000000005</v>
      </c>
      <c r="J185" s="541"/>
      <c r="K185" s="541">
        <v>0</v>
      </c>
      <c r="L185" s="541">
        <v>20193.29</v>
      </c>
      <c r="M185" s="541">
        <v>0</v>
      </c>
      <c r="N185" s="541">
        <v>0</v>
      </c>
      <c r="O185" s="541">
        <v>0</v>
      </c>
      <c r="P185" s="541">
        <v>56942.04</v>
      </c>
      <c r="Q185" s="541">
        <v>24035.65</v>
      </c>
      <c r="R185" s="541">
        <v>1434.72</v>
      </c>
      <c r="S185" s="542">
        <v>9406</v>
      </c>
      <c r="T185" s="542">
        <v>0</v>
      </c>
      <c r="U185" s="543">
        <v>1806719.95</v>
      </c>
      <c r="V185" s="542">
        <v>10840.319699999998</v>
      </c>
      <c r="W185" s="38"/>
      <c r="X185" s="38"/>
    </row>
    <row r="186" spans="1:24" s="39" customFormat="1" ht="16.5" thickBot="1" x14ac:dyDescent="0.3">
      <c r="A186" s="331"/>
      <c r="B186" s="544" t="s">
        <v>163</v>
      </c>
      <c r="C186" s="464"/>
      <c r="D186" s="545"/>
      <c r="E186" s="545"/>
      <c r="F186" s="545"/>
      <c r="G186" s="336"/>
      <c r="H186" s="340"/>
      <c r="I186" s="335"/>
      <c r="J186" s="336"/>
      <c r="K186" s="336"/>
      <c r="L186" s="336"/>
      <c r="M186" s="336"/>
      <c r="N186" s="336"/>
      <c r="O186" s="336"/>
      <c r="P186" s="336"/>
      <c r="Q186" s="336"/>
      <c r="R186" s="336"/>
      <c r="S186" s="337"/>
      <c r="T186" s="546"/>
      <c r="U186" s="672">
        <v>1806719.95</v>
      </c>
      <c r="V186" s="673"/>
      <c r="W186" s="38"/>
      <c r="X186" s="38"/>
    </row>
    <row r="187" spans="1:24" s="39" customFormat="1" ht="23.25" thickBot="1" x14ac:dyDescent="0.3">
      <c r="A187" s="331"/>
      <c r="B187" s="544" t="s">
        <v>265</v>
      </c>
      <c r="C187" s="464"/>
      <c r="D187" s="545"/>
      <c r="E187" s="545"/>
      <c r="F187" s="545"/>
      <c r="G187" s="336"/>
      <c r="H187" s="340"/>
      <c r="I187" s="335"/>
      <c r="J187" s="336"/>
      <c r="K187" s="336"/>
      <c r="L187" s="336"/>
      <c r="M187" s="336"/>
      <c r="N187" s="336"/>
      <c r="O187" s="336"/>
      <c r="P187" s="336"/>
      <c r="Q187" s="336"/>
      <c r="R187" s="336"/>
      <c r="S187" s="337"/>
      <c r="T187" s="546"/>
      <c r="U187" s="547">
        <v>10840319.699999999</v>
      </c>
      <c r="V187" s="548"/>
      <c r="W187" s="38"/>
      <c r="X187" s="38"/>
    </row>
    <row r="188" spans="1:24" s="15" customFormat="1" x14ac:dyDescent="0.25">
      <c r="A188" s="70"/>
      <c r="B188" s="71"/>
      <c r="C188" s="72"/>
      <c r="D188" s="72"/>
      <c r="E188" s="72"/>
      <c r="F188" s="72"/>
      <c r="G188" s="72"/>
      <c r="H188" s="72"/>
      <c r="I188" s="72"/>
      <c r="J188" s="72"/>
      <c r="K188" s="72"/>
      <c r="L188" s="74"/>
      <c r="M188" s="74"/>
      <c r="N188" s="74"/>
      <c r="O188" s="74"/>
      <c r="P188" s="72"/>
      <c r="Q188" s="72"/>
      <c r="R188" s="74"/>
      <c r="S188" s="74"/>
      <c r="T188" s="74"/>
      <c r="U188" s="72"/>
      <c r="V188" s="549"/>
      <c r="W188" s="14"/>
      <c r="X188" s="14"/>
    </row>
    <row r="189" spans="1:24" s="43" customFormat="1" ht="44.25" customHeight="1" x14ac:dyDescent="0.25">
      <c r="A189" s="70"/>
      <c r="B189" s="76"/>
      <c r="C189" s="77"/>
      <c r="D189" s="78"/>
      <c r="E189" s="78"/>
      <c r="F189" s="79"/>
      <c r="G189" s="72"/>
      <c r="H189" s="72"/>
      <c r="I189" s="671" t="s">
        <v>256</v>
      </c>
      <c r="J189" s="671"/>
      <c r="K189" s="671"/>
      <c r="L189" s="80" t="s">
        <v>96</v>
      </c>
      <c r="M189" s="74"/>
      <c r="N189" s="74"/>
      <c r="O189" s="74"/>
      <c r="P189" s="671" t="s">
        <v>257</v>
      </c>
      <c r="Q189" s="671"/>
      <c r="R189" s="80" t="s">
        <v>96</v>
      </c>
      <c r="S189" s="74"/>
      <c r="T189" s="74"/>
      <c r="U189" s="72"/>
      <c r="V189" s="42"/>
      <c r="W189" s="35"/>
      <c r="X189" s="35"/>
    </row>
    <row r="190" spans="1:24" s="43" customFormat="1" x14ac:dyDescent="0.25">
      <c r="A190" s="70"/>
      <c r="B190" s="76"/>
      <c r="C190" s="77"/>
      <c r="D190" s="78"/>
      <c r="E190" s="78"/>
      <c r="F190" s="79"/>
      <c r="G190" s="72"/>
      <c r="H190" s="72"/>
      <c r="I190" s="72"/>
      <c r="J190" s="81"/>
      <c r="K190" s="550"/>
      <c r="L190" s="551"/>
      <c r="M190" s="74"/>
      <c r="N190" s="74"/>
      <c r="O190" s="74"/>
      <c r="P190" s="81"/>
      <c r="Q190" s="81"/>
      <c r="R190" s="81"/>
      <c r="S190" s="74"/>
      <c r="T190" s="74"/>
      <c r="U190" s="72"/>
      <c r="V190" s="42"/>
      <c r="W190" s="35"/>
      <c r="X190" s="35"/>
    </row>
    <row r="191" spans="1:24" s="43" customFormat="1" x14ac:dyDescent="0.25">
      <c r="A191" s="70"/>
      <c r="B191" s="83" t="s">
        <v>216</v>
      </c>
      <c r="C191" s="84"/>
      <c r="D191" s="84"/>
      <c r="E191" s="78"/>
      <c r="F191" s="79"/>
      <c r="G191" s="72"/>
      <c r="H191" s="72"/>
      <c r="I191" s="72"/>
      <c r="J191" s="85">
        <v>10840319.700000001</v>
      </c>
      <c r="K191" s="85"/>
      <c r="L191" s="88">
        <v>99.999999999999986</v>
      </c>
      <c r="M191" s="74"/>
      <c r="N191" s="74"/>
      <c r="O191" s="74"/>
      <c r="P191" s="85">
        <v>5190331.1399999997</v>
      </c>
      <c r="Q191" s="85"/>
      <c r="R191" s="87">
        <v>100</v>
      </c>
      <c r="S191" s="74"/>
      <c r="T191" s="74"/>
      <c r="U191" s="72"/>
      <c r="V191" s="42"/>
      <c r="W191" s="35"/>
      <c r="X191" s="35"/>
    </row>
    <row r="192" spans="1:24" s="43" customFormat="1" x14ac:dyDescent="0.25">
      <c r="A192" s="70"/>
      <c r="B192" s="83" t="s">
        <v>217</v>
      </c>
      <c r="C192" s="84"/>
      <c r="D192" s="84"/>
      <c r="E192" s="78"/>
      <c r="F192" s="79"/>
      <c r="G192" s="72"/>
      <c r="H192" s="72"/>
      <c r="I192" s="72"/>
      <c r="J192" s="85">
        <v>1122456.0000000005</v>
      </c>
      <c r="K192" s="85"/>
      <c r="L192" s="88">
        <v>10.354454767602475</v>
      </c>
      <c r="M192" s="74"/>
      <c r="N192" s="74"/>
      <c r="O192" s="74"/>
      <c r="P192" s="81"/>
      <c r="Q192" s="81"/>
      <c r="R192" s="81"/>
      <c r="S192" s="74"/>
      <c r="T192" s="74"/>
      <c r="U192" s="72"/>
      <c r="V192" s="42"/>
      <c r="W192" s="35"/>
      <c r="X192" s="35"/>
    </row>
    <row r="193" spans="1:26" s="43" customFormat="1" x14ac:dyDescent="0.25">
      <c r="A193" s="70"/>
      <c r="B193" s="83" t="s">
        <v>218</v>
      </c>
      <c r="C193" s="84"/>
      <c r="D193" s="84"/>
      <c r="E193" s="78"/>
      <c r="F193" s="79"/>
      <c r="G193" s="72"/>
      <c r="H193" s="72"/>
      <c r="I193" s="72"/>
      <c r="J193" s="85">
        <v>1628270.34</v>
      </c>
      <c r="K193" s="85"/>
      <c r="L193" s="88">
        <v>15.020501102010856</v>
      </c>
      <c r="M193" s="74"/>
      <c r="N193" s="74"/>
      <c r="O193" s="74"/>
      <c r="P193" s="81"/>
      <c r="Q193" s="81"/>
      <c r="R193" s="81"/>
      <c r="S193" s="74"/>
      <c r="T193" s="74"/>
      <c r="U193" s="72"/>
      <c r="V193" s="42"/>
      <c r="W193" s="35"/>
      <c r="X193" s="35"/>
    </row>
    <row r="194" spans="1:26" s="43" customFormat="1" x14ac:dyDescent="0.25">
      <c r="A194" s="70"/>
      <c r="B194" s="83" t="s">
        <v>222</v>
      </c>
      <c r="C194" s="84"/>
      <c r="D194" s="84"/>
      <c r="E194" s="78"/>
      <c r="F194" s="79"/>
      <c r="G194" s="72"/>
      <c r="H194" s="72"/>
      <c r="I194" s="72"/>
      <c r="J194" s="85">
        <v>1525077.0000000002</v>
      </c>
      <c r="K194" s="85"/>
      <c r="L194" s="88">
        <v>14.068561096034834</v>
      </c>
      <c r="M194" s="74"/>
      <c r="N194" s="74"/>
      <c r="O194" s="74"/>
      <c r="P194" s="81"/>
      <c r="Q194" s="81"/>
      <c r="R194" s="81"/>
      <c r="S194" s="74"/>
      <c r="T194" s="74"/>
      <c r="U194" s="72"/>
      <c r="V194" s="42"/>
      <c r="W194" s="35"/>
      <c r="X194" s="35"/>
    </row>
    <row r="195" spans="1:26" s="43" customFormat="1" x14ac:dyDescent="0.25">
      <c r="A195" s="70"/>
      <c r="B195" s="83" t="s">
        <v>223</v>
      </c>
      <c r="C195" s="84"/>
      <c r="D195" s="84"/>
      <c r="E195" s="78"/>
      <c r="F195" s="79"/>
      <c r="G195" s="72"/>
      <c r="H195" s="72"/>
      <c r="I195" s="72"/>
      <c r="J195" s="85">
        <v>341884.5</v>
      </c>
      <c r="K195" s="85"/>
      <c r="L195" s="88">
        <v>3.1538230371563669</v>
      </c>
      <c r="M195" s="74"/>
      <c r="N195" s="74"/>
      <c r="O195" s="74"/>
      <c r="P195" s="670"/>
      <c r="Q195" s="670"/>
      <c r="R195" s="88"/>
      <c r="S195" s="74"/>
      <c r="T195" s="74"/>
      <c r="U195" s="72"/>
      <c r="V195" s="42"/>
      <c r="W195" s="35"/>
      <c r="X195" s="35"/>
    </row>
    <row r="196" spans="1:26" s="43" customFormat="1" x14ac:dyDescent="0.25">
      <c r="A196" s="70"/>
      <c r="B196" s="83" t="s">
        <v>221</v>
      </c>
      <c r="C196" s="84"/>
      <c r="D196" s="84"/>
      <c r="E196" s="78"/>
      <c r="F196" s="79"/>
      <c r="G196" s="72"/>
      <c r="H196" s="72"/>
      <c r="I196" s="72"/>
      <c r="J196" s="85">
        <v>1032300.72</v>
      </c>
      <c r="K196" s="85"/>
      <c r="L196" s="88">
        <v>9.5227885207112468</v>
      </c>
      <c r="M196" s="74"/>
      <c r="N196" s="74"/>
      <c r="O196" s="74"/>
      <c r="P196" s="670"/>
      <c r="Q196" s="670"/>
      <c r="R196" s="88"/>
      <c r="S196" s="74"/>
      <c r="T196" s="74"/>
      <c r="U196" s="72"/>
      <c r="V196" s="42"/>
      <c r="W196" s="35"/>
      <c r="X196" s="35"/>
    </row>
    <row r="197" spans="1:26" s="43" customFormat="1" x14ac:dyDescent="0.25">
      <c r="A197" s="70"/>
      <c r="B197" s="83" t="s">
        <v>219</v>
      </c>
      <c r="C197" s="84"/>
      <c r="D197" s="84"/>
      <c r="E197" s="78"/>
      <c r="F197" s="79"/>
      <c r="G197" s="72"/>
      <c r="H197" s="72"/>
      <c r="I197" s="72"/>
      <c r="J197" s="85">
        <v>3415109.2199999997</v>
      </c>
      <c r="K197" s="85"/>
      <c r="L197" s="88">
        <v>31.503768472806197</v>
      </c>
      <c r="M197" s="74"/>
      <c r="N197" s="74"/>
      <c r="O197" s="74"/>
      <c r="P197" s="85">
        <v>3415109.2199999997</v>
      </c>
      <c r="Q197" s="85"/>
      <c r="R197" s="88">
        <v>72.46752096510744</v>
      </c>
      <c r="S197" s="74"/>
      <c r="T197" s="74"/>
      <c r="U197" s="72"/>
      <c r="V197" s="42"/>
      <c r="W197" s="35"/>
      <c r="X197" s="35"/>
    </row>
    <row r="198" spans="1:26" s="43" customFormat="1" ht="19.5" customHeight="1" x14ac:dyDescent="0.3">
      <c r="A198" s="70"/>
      <c r="B198" s="83" t="s">
        <v>220</v>
      </c>
      <c r="C198" s="83"/>
      <c r="D198" s="83"/>
      <c r="E198" s="78"/>
      <c r="F198" s="79"/>
      <c r="G198" s="72"/>
      <c r="H198" s="72"/>
      <c r="I198" s="72"/>
      <c r="J198" s="85">
        <v>1775221.92</v>
      </c>
      <c r="K198" s="85"/>
      <c r="L198" s="88">
        <v>16.376103003678015</v>
      </c>
      <c r="M198" s="74"/>
      <c r="N198" s="74"/>
      <c r="O198" s="74"/>
      <c r="P198" s="85">
        <v>1775221.92</v>
      </c>
      <c r="Q198" s="85"/>
      <c r="R198" s="88">
        <v>27.53247903489256</v>
      </c>
      <c r="S198" s="74"/>
      <c r="T198" s="74"/>
      <c r="U198" s="72"/>
      <c r="V198" s="42"/>
      <c r="W198" s="44"/>
      <c r="X198" s="45"/>
      <c r="Y198" s="46"/>
      <c r="Z198" s="47"/>
    </row>
    <row r="199" spans="1:26" s="43" customFormat="1" ht="18.75" x14ac:dyDescent="0.3">
      <c r="A199" s="70"/>
      <c r="B199" s="83" t="s">
        <v>233</v>
      </c>
      <c r="C199" s="77"/>
      <c r="D199" s="78"/>
      <c r="E199" s="78"/>
      <c r="F199" s="79"/>
      <c r="G199" s="72"/>
      <c r="H199" s="72"/>
      <c r="I199" s="72"/>
      <c r="J199" s="81"/>
      <c r="K199" s="87"/>
      <c r="L199" s="88"/>
      <c r="M199" s="74"/>
      <c r="N199" s="74"/>
      <c r="O199" s="74"/>
      <c r="P199" s="670"/>
      <c r="Q199" s="670"/>
      <c r="R199" s="88"/>
      <c r="S199" s="74"/>
      <c r="T199" s="74"/>
      <c r="U199" s="72"/>
      <c r="V199" s="549"/>
      <c r="W199" s="44"/>
      <c r="X199" s="45"/>
      <c r="Y199" s="46"/>
      <c r="Z199" s="47"/>
    </row>
    <row r="200" spans="1:26" s="43" customFormat="1" ht="17.25" customHeight="1" x14ac:dyDescent="0.3">
      <c r="A200" s="70"/>
      <c r="B200" s="83" t="s">
        <v>234</v>
      </c>
      <c r="C200" s="84"/>
      <c r="D200" s="84"/>
      <c r="E200" s="78"/>
      <c r="F200" s="79"/>
      <c r="G200" s="72"/>
      <c r="H200" s="72"/>
      <c r="I200" s="72"/>
      <c r="J200" s="72"/>
      <c r="K200" s="72"/>
      <c r="L200" s="74"/>
      <c r="M200" s="74"/>
      <c r="N200" s="74"/>
      <c r="O200" s="74"/>
      <c r="P200" s="85">
        <v>3314372.3660759996</v>
      </c>
      <c r="Q200" s="85"/>
      <c r="R200" s="88">
        <v>97.05525967151938</v>
      </c>
      <c r="S200" s="89"/>
      <c r="T200" s="89"/>
      <c r="U200" s="72"/>
      <c r="V200" s="549"/>
      <c r="W200" s="44"/>
      <c r="X200" s="45"/>
      <c r="Y200" s="46"/>
      <c r="Z200" s="47"/>
    </row>
    <row r="201" spans="1:26" s="43" customFormat="1" ht="18.75" x14ac:dyDescent="0.3">
      <c r="A201" s="70"/>
      <c r="B201" s="83" t="s">
        <v>235</v>
      </c>
      <c r="C201" s="72"/>
      <c r="D201" s="72"/>
      <c r="E201" s="72"/>
      <c r="F201" s="72"/>
      <c r="G201" s="72"/>
      <c r="H201" s="72"/>
      <c r="I201" s="72"/>
      <c r="J201" s="72"/>
      <c r="K201" s="72"/>
      <c r="L201" s="74"/>
      <c r="M201" s="74"/>
      <c r="N201" s="74"/>
      <c r="O201" s="74"/>
      <c r="P201" s="85">
        <v>100736.85392400001</v>
      </c>
      <c r="Q201" s="85"/>
      <c r="R201" s="88">
        <v>2.9447403284806222</v>
      </c>
      <c r="S201" s="89"/>
      <c r="T201" s="89"/>
      <c r="U201" s="72"/>
      <c r="V201" s="549"/>
      <c r="W201" s="44"/>
      <c r="X201" s="45"/>
      <c r="Y201" s="46"/>
      <c r="Z201" s="47"/>
    </row>
    <row r="202" spans="1:26" s="43" customFormat="1" ht="18.75" x14ac:dyDescent="0.3">
      <c r="A202" s="70"/>
      <c r="B202" s="71"/>
      <c r="C202" s="72"/>
      <c r="D202" s="72"/>
      <c r="E202" s="72"/>
      <c r="F202" s="72"/>
      <c r="G202" s="72"/>
      <c r="H202" s="72"/>
      <c r="I202" s="72"/>
      <c r="J202" s="72"/>
      <c r="K202" s="72"/>
      <c r="L202" s="74"/>
      <c r="M202" s="74"/>
      <c r="N202" s="74"/>
      <c r="O202" s="74"/>
      <c r="P202" s="72"/>
      <c r="Q202" s="72"/>
      <c r="R202" s="74"/>
      <c r="S202" s="89"/>
      <c r="T202" s="89"/>
      <c r="U202" s="72"/>
      <c r="V202" s="549"/>
      <c r="W202" s="44"/>
      <c r="X202" s="45"/>
      <c r="Y202" s="46"/>
      <c r="Z202" s="47"/>
    </row>
    <row r="203" spans="1:26" s="43" customFormat="1" ht="18.75" x14ac:dyDescent="0.3">
      <c r="A203" s="70"/>
      <c r="B203" s="71"/>
      <c r="C203" s="72"/>
      <c r="D203" s="72"/>
      <c r="E203" s="72"/>
      <c r="F203" s="72"/>
      <c r="G203" s="72"/>
      <c r="H203" s="72"/>
      <c r="I203" s="72"/>
      <c r="J203" s="72"/>
      <c r="K203" s="72"/>
      <c r="L203" s="74"/>
      <c r="M203" s="74"/>
      <c r="N203" s="74"/>
      <c r="O203" s="74"/>
      <c r="P203" s="72"/>
      <c r="Q203" s="72"/>
      <c r="R203" s="74"/>
      <c r="S203" s="89"/>
      <c r="T203" s="89"/>
      <c r="U203" s="72"/>
      <c r="V203" s="549"/>
      <c r="W203" s="44"/>
      <c r="X203" s="45"/>
      <c r="Y203" s="46"/>
      <c r="Z203" s="47"/>
    </row>
    <row r="204" spans="1:26" s="43" customFormat="1" ht="18.75" x14ac:dyDescent="0.3">
      <c r="A204" s="70"/>
      <c r="B204" s="71"/>
      <c r="C204" s="72"/>
      <c r="D204" s="72"/>
      <c r="E204" s="72"/>
      <c r="F204" s="72"/>
      <c r="G204" s="72"/>
      <c r="H204" s="72"/>
      <c r="I204" s="72"/>
      <c r="J204" s="72"/>
      <c r="K204" s="72"/>
      <c r="L204" s="74"/>
      <c r="M204" s="74"/>
      <c r="N204" s="74"/>
      <c r="O204" s="74"/>
      <c r="P204" s="72"/>
      <c r="Q204" s="72"/>
      <c r="R204" s="74"/>
      <c r="S204" s="89"/>
      <c r="T204" s="89"/>
      <c r="U204" s="72"/>
      <c r="V204" s="549"/>
      <c r="W204" s="44"/>
      <c r="X204" s="45"/>
      <c r="Y204" s="46"/>
      <c r="Z204" s="47"/>
    </row>
    <row r="205" spans="1:26" s="43" customFormat="1" ht="18.75" x14ac:dyDescent="0.3">
      <c r="A205" s="70"/>
      <c r="B205" s="71" t="s">
        <v>228</v>
      </c>
      <c r="C205" s="72"/>
      <c r="D205" s="72"/>
      <c r="E205" s="72"/>
      <c r="F205" s="72"/>
      <c r="G205" s="72"/>
      <c r="H205" s="72"/>
      <c r="I205" s="72" t="s">
        <v>271</v>
      </c>
      <c r="J205" s="72"/>
      <c r="K205" s="72"/>
      <c r="L205" s="74"/>
      <c r="M205" s="74"/>
      <c r="N205" s="74"/>
      <c r="O205" s="74"/>
      <c r="P205" s="72"/>
      <c r="Q205" s="72"/>
      <c r="R205" s="74"/>
      <c r="S205" s="89"/>
      <c r="T205" s="89"/>
      <c r="U205" s="72"/>
      <c r="V205" s="549"/>
      <c r="W205" s="44"/>
      <c r="X205" s="45"/>
      <c r="Y205" s="46"/>
      <c r="Z205" s="47"/>
    </row>
    <row r="206" spans="1:26" s="43" customFormat="1" ht="18.75" x14ac:dyDescent="0.3">
      <c r="A206" s="70"/>
      <c r="B206" s="71"/>
      <c r="C206" s="72"/>
      <c r="D206" s="72"/>
      <c r="E206" s="72"/>
      <c r="F206" s="72"/>
      <c r="G206" s="72"/>
      <c r="H206" s="72"/>
      <c r="I206" s="72"/>
      <c r="J206" s="72"/>
      <c r="K206" s="72"/>
      <c r="L206" s="74"/>
      <c r="M206" s="74"/>
      <c r="N206" s="74"/>
      <c r="O206" s="74"/>
      <c r="P206" s="72"/>
      <c r="Q206" s="72"/>
      <c r="R206" s="74"/>
      <c r="S206" s="89"/>
      <c r="T206" s="89"/>
      <c r="U206" s="72"/>
      <c r="V206" s="549"/>
      <c r="W206" s="44"/>
      <c r="X206" s="45"/>
      <c r="Y206" s="46"/>
      <c r="Z206" s="47"/>
    </row>
    <row r="207" spans="1:26" s="43" customFormat="1" ht="18.75" x14ac:dyDescent="0.3">
      <c r="A207" s="70"/>
      <c r="B207" s="71"/>
      <c r="C207" s="72"/>
      <c r="D207" s="72"/>
      <c r="E207" s="72"/>
      <c r="F207" s="72"/>
      <c r="G207" s="72"/>
      <c r="H207" s="72"/>
      <c r="I207" s="72"/>
      <c r="J207" s="72"/>
      <c r="K207" s="72"/>
      <c r="L207" s="74"/>
      <c r="M207" s="74"/>
      <c r="N207" s="74"/>
      <c r="O207" s="74"/>
      <c r="P207" s="72"/>
      <c r="Q207" s="72"/>
      <c r="R207" s="74"/>
      <c r="S207" s="89"/>
      <c r="T207" s="89"/>
      <c r="U207" s="72"/>
      <c r="V207" s="549"/>
      <c r="W207" s="44"/>
      <c r="X207" s="45"/>
      <c r="Y207" s="46"/>
      <c r="Z207" s="47"/>
    </row>
    <row r="208" spans="1:26" s="43" customFormat="1" ht="12.75" customHeight="1" x14ac:dyDescent="0.3">
      <c r="A208" s="70"/>
      <c r="B208" s="71"/>
      <c r="C208" s="72"/>
      <c r="D208" s="72"/>
      <c r="E208" s="72"/>
      <c r="F208" s="72"/>
      <c r="G208" s="72"/>
      <c r="H208" s="72"/>
      <c r="I208" s="72"/>
      <c r="J208" s="72"/>
      <c r="K208" s="72"/>
      <c r="L208" s="74"/>
      <c r="M208" s="74"/>
      <c r="N208" s="74"/>
      <c r="O208" s="74"/>
      <c r="P208" s="72"/>
      <c r="Q208" s="72"/>
      <c r="R208" s="74"/>
      <c r="S208" s="89"/>
      <c r="T208" s="89"/>
      <c r="U208" s="72"/>
      <c r="V208" s="549"/>
      <c r="W208" s="44"/>
      <c r="X208" s="45"/>
      <c r="Y208" s="46"/>
      <c r="Z208" s="47"/>
    </row>
    <row r="209" spans="1:26" s="43" customFormat="1" ht="12.75" customHeight="1" x14ac:dyDescent="0.3">
      <c r="A209" s="70"/>
      <c r="B209" s="71"/>
      <c r="C209" s="72"/>
      <c r="D209" s="72"/>
      <c r="E209" s="72"/>
      <c r="F209" s="72"/>
      <c r="G209" s="72"/>
      <c r="H209" s="72"/>
      <c r="I209" s="72"/>
      <c r="J209" s="72"/>
      <c r="K209" s="72"/>
      <c r="L209" s="74"/>
      <c r="M209" s="74"/>
      <c r="N209" s="74"/>
      <c r="O209" s="74"/>
      <c r="P209" s="72"/>
      <c r="Q209" s="72"/>
      <c r="R209" s="74"/>
      <c r="S209" s="89"/>
      <c r="T209" s="89"/>
      <c r="U209" s="72"/>
      <c r="V209" s="549"/>
      <c r="W209" s="44"/>
      <c r="X209" s="45"/>
      <c r="Y209" s="46"/>
      <c r="Z209" s="47"/>
    </row>
    <row r="210" spans="1:26" s="43" customFormat="1" ht="8.25" customHeight="1" x14ac:dyDescent="0.3">
      <c r="A210" s="70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74"/>
      <c r="M210" s="74"/>
      <c r="N210" s="74"/>
      <c r="O210" s="74"/>
      <c r="P210" s="72"/>
      <c r="Q210" s="72"/>
      <c r="R210" s="74"/>
      <c r="S210" s="89"/>
      <c r="T210" s="89"/>
      <c r="U210" s="72"/>
      <c r="V210" s="549"/>
      <c r="W210" s="44"/>
      <c r="X210" s="45"/>
      <c r="Y210" s="46"/>
      <c r="Z210" s="47"/>
    </row>
    <row r="211" spans="1:26" s="43" customFormat="1" ht="12.75" hidden="1" customHeight="1" x14ac:dyDescent="0.3">
      <c r="A211" s="70"/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4"/>
      <c r="M211" s="74"/>
      <c r="N211" s="74"/>
      <c r="O211" s="74"/>
      <c r="P211" s="72"/>
      <c r="Q211" s="72"/>
      <c r="R211" s="74"/>
      <c r="S211" s="89"/>
      <c r="T211" s="89"/>
      <c r="U211" s="72"/>
      <c r="V211" s="549"/>
      <c r="W211" s="44"/>
      <c r="X211" s="45"/>
      <c r="Y211" s="46"/>
      <c r="Z211" s="47"/>
    </row>
    <row r="212" spans="1:26" s="43" customFormat="1" ht="17.25" customHeight="1" x14ac:dyDescent="0.3">
      <c r="A212" s="70"/>
      <c r="B212" s="71"/>
      <c r="C212" s="72"/>
      <c r="D212" s="72"/>
      <c r="E212" s="72"/>
      <c r="F212" s="72"/>
      <c r="G212" s="72"/>
      <c r="H212" s="72"/>
      <c r="I212" s="72"/>
      <c r="J212" s="72"/>
      <c r="K212" s="72"/>
      <c r="L212" s="74"/>
      <c r="M212" s="74"/>
      <c r="N212" s="74"/>
      <c r="O212" s="74"/>
      <c r="P212" s="72"/>
      <c r="Q212" s="72"/>
      <c r="R212" s="74"/>
      <c r="S212" s="89"/>
      <c r="T212" s="89"/>
      <c r="U212" s="72"/>
      <c r="V212" s="549"/>
      <c r="W212" s="44"/>
      <c r="X212" s="45"/>
      <c r="Y212" s="46"/>
      <c r="Z212" s="47"/>
    </row>
    <row r="213" spans="1:26" s="43" customFormat="1" ht="18" customHeight="1" x14ac:dyDescent="0.3">
      <c r="A213" s="70"/>
      <c r="B213" s="71"/>
      <c r="C213" s="72"/>
      <c r="D213" s="72"/>
      <c r="E213" s="72"/>
      <c r="F213" s="72"/>
      <c r="G213" s="72"/>
      <c r="H213" s="72"/>
      <c r="I213" s="72"/>
      <c r="J213" s="72"/>
      <c r="K213" s="72"/>
      <c r="L213" s="74"/>
      <c r="M213" s="74"/>
      <c r="N213" s="74"/>
      <c r="O213" s="74"/>
      <c r="P213" s="72"/>
      <c r="Q213" s="72"/>
      <c r="R213" s="74"/>
      <c r="S213" s="89"/>
      <c r="T213" s="89"/>
      <c r="U213" s="72"/>
      <c r="V213" s="549"/>
      <c r="W213" s="44"/>
      <c r="X213" s="45"/>
      <c r="Y213" s="46"/>
      <c r="Z213" s="47"/>
    </row>
    <row r="214" spans="1:26" s="43" customFormat="1" ht="18.75" x14ac:dyDescent="0.3">
      <c r="A214" s="70"/>
      <c r="B214" s="71"/>
      <c r="C214" s="72"/>
      <c r="D214" s="72"/>
      <c r="E214" s="72"/>
      <c r="F214" s="72"/>
      <c r="G214" s="72"/>
      <c r="H214" s="72"/>
      <c r="I214" s="72"/>
      <c r="J214" s="72"/>
      <c r="K214" s="72"/>
      <c r="L214" s="74"/>
      <c r="M214" s="74"/>
      <c r="N214" s="74"/>
      <c r="O214" s="74"/>
      <c r="P214" s="72"/>
      <c r="Q214" s="72"/>
      <c r="R214" s="74"/>
      <c r="S214" s="89"/>
      <c r="T214" s="89"/>
      <c r="U214" s="72"/>
      <c r="V214" s="549"/>
      <c r="W214" s="44"/>
      <c r="X214" s="45"/>
      <c r="Y214" s="46"/>
      <c r="Z214" s="47"/>
    </row>
    <row r="215" spans="1:26" s="43" customFormat="1" ht="18.75" x14ac:dyDescent="0.3">
      <c r="A215" s="70"/>
      <c r="B215" s="71"/>
      <c r="C215" s="72"/>
      <c r="D215" s="72"/>
      <c r="E215" s="72"/>
      <c r="F215" s="72"/>
      <c r="G215" s="72"/>
      <c r="H215" s="72"/>
      <c r="I215" s="72"/>
      <c r="J215" s="72"/>
      <c r="K215" s="72"/>
      <c r="L215" s="74"/>
      <c r="M215" s="74"/>
      <c r="N215" s="74"/>
      <c r="O215" s="74"/>
      <c r="P215" s="72"/>
      <c r="Q215" s="72"/>
      <c r="R215" s="74"/>
      <c r="S215" s="89"/>
      <c r="T215" s="89"/>
      <c r="U215" s="72"/>
      <c r="V215" s="549"/>
      <c r="W215" s="44"/>
      <c r="X215" s="45"/>
      <c r="Y215" s="46"/>
      <c r="Z215" s="47"/>
    </row>
    <row r="216" spans="1:26" s="43" customFormat="1" ht="18.75" x14ac:dyDescent="0.3">
      <c r="A216" s="70"/>
      <c r="B216" s="71"/>
      <c r="C216" s="72"/>
      <c r="D216" s="72"/>
      <c r="E216" s="72"/>
      <c r="F216" s="72"/>
      <c r="G216" s="72"/>
      <c r="H216" s="72"/>
      <c r="I216" s="72"/>
      <c r="J216" s="72"/>
      <c r="K216" s="72"/>
      <c r="L216" s="74"/>
      <c r="M216" s="74"/>
      <c r="N216" s="74"/>
      <c r="O216" s="74"/>
      <c r="P216" s="72"/>
      <c r="Q216" s="72"/>
      <c r="R216" s="74"/>
      <c r="S216" s="89"/>
      <c r="T216" s="89"/>
      <c r="U216" s="72"/>
      <c r="V216" s="549"/>
      <c r="W216" s="44"/>
      <c r="X216" s="45"/>
      <c r="Y216" s="46"/>
      <c r="Z216" s="47"/>
    </row>
    <row r="217" spans="1:26" ht="45.75" customHeight="1" x14ac:dyDescent="0.3">
      <c r="S217" s="91"/>
      <c r="T217" s="91"/>
      <c r="W217" s="7"/>
      <c r="X217" s="6"/>
      <c r="Y217" s="19"/>
      <c r="Z217" s="20"/>
    </row>
    <row r="218" spans="1:26" s="24" customFormat="1" ht="18" customHeight="1" x14ac:dyDescent="0.25">
      <c r="A218" s="92"/>
      <c r="B218" s="93"/>
      <c r="C218" s="56"/>
      <c r="D218" s="56"/>
      <c r="E218" s="56"/>
      <c r="F218" s="56"/>
      <c r="G218" s="56"/>
      <c r="H218" s="56"/>
      <c r="I218" s="56"/>
      <c r="J218" s="56"/>
      <c r="K218" s="56"/>
      <c r="L218" s="94"/>
      <c r="M218" s="94"/>
      <c r="N218" s="94"/>
      <c r="O218" s="94"/>
      <c r="P218" s="56"/>
      <c r="Q218" s="56"/>
      <c r="R218" s="94"/>
      <c r="S218" s="94"/>
      <c r="T218" s="94"/>
      <c r="U218" s="56"/>
      <c r="V218" s="95"/>
      <c r="W218" s="13"/>
      <c r="X218" s="12"/>
      <c r="Y218" s="23"/>
      <c r="Z218" s="22"/>
    </row>
    <row r="219" spans="1:26" s="24" customFormat="1" ht="18" customHeight="1" x14ac:dyDescent="0.25">
      <c r="A219" s="92"/>
      <c r="B219" s="93"/>
      <c r="C219" s="56"/>
      <c r="D219" s="56"/>
      <c r="E219" s="56"/>
      <c r="F219" s="56"/>
      <c r="G219" s="56"/>
      <c r="H219" s="56"/>
      <c r="I219" s="56"/>
      <c r="J219" s="56"/>
      <c r="K219" s="56"/>
      <c r="L219" s="94"/>
      <c r="M219" s="94"/>
      <c r="N219" s="94"/>
      <c r="O219" s="94"/>
      <c r="P219" s="56"/>
      <c r="Q219" s="56"/>
      <c r="R219" s="94"/>
      <c r="S219" s="94"/>
      <c r="T219" s="94"/>
      <c r="U219" s="56"/>
      <c r="V219" s="95"/>
      <c r="W219" s="13"/>
      <c r="X219" s="12"/>
      <c r="Y219" s="23"/>
      <c r="Z219" s="22"/>
    </row>
    <row r="220" spans="1:26" s="24" customFormat="1" ht="6" customHeight="1" x14ac:dyDescent="0.25">
      <c r="A220" s="92"/>
      <c r="B220" s="93"/>
      <c r="C220" s="56"/>
      <c r="D220" s="56"/>
      <c r="E220" s="56"/>
      <c r="F220" s="56"/>
      <c r="G220" s="56"/>
      <c r="H220" s="56"/>
      <c r="I220" s="56"/>
      <c r="J220" s="56"/>
      <c r="K220" s="56"/>
      <c r="L220" s="94"/>
      <c r="M220" s="94"/>
      <c r="N220" s="94"/>
      <c r="O220" s="94"/>
      <c r="P220" s="56"/>
      <c r="Q220" s="56"/>
      <c r="R220" s="94"/>
      <c r="S220" s="94"/>
      <c r="T220" s="94"/>
      <c r="U220" s="56"/>
      <c r="V220" s="95"/>
      <c r="W220" s="13"/>
      <c r="X220" s="12"/>
      <c r="Y220" s="23"/>
      <c r="Z220" s="22"/>
    </row>
    <row r="221" spans="1:26" ht="16.5" customHeight="1" x14ac:dyDescent="0.3">
      <c r="S221" s="91"/>
      <c r="T221" s="91"/>
      <c r="W221" s="7"/>
      <c r="X221" s="6"/>
      <c r="Y221" s="19"/>
      <c r="Z221" s="20"/>
    </row>
    <row r="222" spans="1:26" ht="18.75" customHeight="1" x14ac:dyDescent="0.3">
      <c r="S222" s="91"/>
      <c r="T222" s="91"/>
      <c r="W222" s="7"/>
      <c r="X222" s="6"/>
      <c r="Y222" s="19"/>
      <c r="Z222" s="20"/>
    </row>
  </sheetData>
  <mergeCells count="28">
    <mergeCell ref="P195:Q195"/>
    <mergeCell ref="P196:Q196"/>
    <mergeCell ref="P199:Q199"/>
    <mergeCell ref="I189:K189"/>
    <mergeCell ref="U186:V186"/>
    <mergeCell ref="P189:Q189"/>
    <mergeCell ref="B13:G13"/>
    <mergeCell ref="T11:T12"/>
    <mergeCell ref="J11:O11"/>
    <mergeCell ref="U11:U12"/>
    <mergeCell ref="V11:V12"/>
    <mergeCell ref="H11:H12"/>
    <mergeCell ref="I11:I12"/>
    <mergeCell ref="P11:S11"/>
    <mergeCell ref="B30:G30"/>
    <mergeCell ref="B49:H49"/>
    <mergeCell ref="B93:H93"/>
    <mergeCell ref="B119:I119"/>
    <mergeCell ref="B127:D127"/>
    <mergeCell ref="G8:K8"/>
    <mergeCell ref="G10:K10"/>
    <mergeCell ref="A11:A12"/>
    <mergeCell ref="B11:B12"/>
    <mergeCell ref="C11:C12"/>
    <mergeCell ref="D11:D12"/>
    <mergeCell ref="E11:F11"/>
    <mergeCell ref="G11:G12"/>
    <mergeCell ref="E9:P9"/>
  </mergeCells>
  <pageMargins left="0.28999999999999998" right="0" top="0.8" bottom="0.15748031496062992" header="0.31496062992125984" footer="0.31496062992125984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8"/>
  <sheetViews>
    <sheetView topLeftCell="A191" zoomScaleNormal="100" workbookViewId="0">
      <selection activeCell="U211" sqref="U211"/>
    </sheetView>
  </sheetViews>
  <sheetFormatPr defaultColWidth="9.140625" defaultRowHeight="15.75" x14ac:dyDescent="0.25"/>
  <cols>
    <col min="1" max="1" width="3.7109375" style="271" customWidth="1"/>
    <col min="2" max="2" width="19.42578125" style="243" customWidth="1"/>
    <col min="3" max="3" width="5" style="75" customWidth="1"/>
    <col min="4" max="4" width="5.85546875" style="75" customWidth="1"/>
    <col min="5" max="5" width="4.42578125" style="75" customWidth="1"/>
    <col min="6" max="6" width="9.140625" style="75" customWidth="1"/>
    <col min="7" max="7" width="10.85546875" style="133" bestFit="1" customWidth="1"/>
    <col min="8" max="8" width="13" style="133" customWidth="1"/>
    <col min="9" max="9" width="15" style="133" bestFit="1" customWidth="1"/>
    <col min="10" max="10" width="6.7109375" style="75" bestFit="1" customWidth="1"/>
    <col min="11" max="11" width="9.7109375" style="133" customWidth="1"/>
    <col min="12" max="12" width="8.7109375" style="133" customWidth="1"/>
    <col min="13" max="15" width="0" style="154" hidden="1" customWidth="1"/>
    <col min="16" max="16" width="10" style="75" customWidth="1"/>
    <col min="17" max="17" width="11.42578125" style="75" customWidth="1"/>
    <col min="18" max="18" width="9" style="154" customWidth="1"/>
    <col min="19" max="19" width="8" style="154" customWidth="1"/>
    <col min="20" max="20" width="10.85546875" style="241" bestFit="1" customWidth="1"/>
    <col min="21" max="21" width="12.5703125" style="133" customWidth="1"/>
    <col min="22" max="22" width="11.85546875" style="241" customWidth="1"/>
    <col min="23" max="25" width="9.140625" style="242"/>
    <col min="26" max="26" width="9.140625" style="3"/>
    <col min="27" max="16384" width="9.140625" style="10"/>
  </cols>
  <sheetData>
    <row r="1" spans="1:25" ht="47.25" hidden="1" customHeight="1" x14ac:dyDescent="0.25">
      <c r="A1" s="237" t="s">
        <v>268</v>
      </c>
      <c r="B1" s="238"/>
      <c r="C1" s="126"/>
      <c r="D1" s="126"/>
      <c r="E1" s="126"/>
      <c r="F1" s="126"/>
      <c r="G1" s="239" t="s">
        <v>80</v>
      </c>
      <c r="H1" s="239"/>
      <c r="I1" s="239"/>
      <c r="J1" s="122" t="e">
        <f>ROUND(D1*G1,2)</f>
        <v>#VALUE!</v>
      </c>
      <c r="K1" s="239"/>
      <c r="L1" s="239"/>
      <c r="M1" s="238"/>
      <c r="N1" s="238"/>
      <c r="O1" s="238"/>
      <c r="P1" s="126"/>
      <c r="Q1" s="126"/>
      <c r="R1" s="238"/>
      <c r="S1" s="238"/>
      <c r="T1" s="240"/>
    </row>
    <row r="2" spans="1:25" ht="24" hidden="1" customHeight="1" x14ac:dyDescent="0.25">
      <c r="A2" s="237" t="s">
        <v>269</v>
      </c>
      <c r="B2" s="238"/>
      <c r="C2" s="126"/>
      <c r="D2" s="126"/>
      <c r="E2" s="126"/>
      <c r="F2" s="126"/>
      <c r="G2" s="239"/>
      <c r="H2" s="239"/>
      <c r="I2" s="239"/>
      <c r="J2" s="122">
        <f>ROUND(D2*G2,2)</f>
        <v>0</v>
      </c>
      <c r="K2" s="239"/>
      <c r="L2" s="239"/>
      <c r="M2" s="238"/>
      <c r="N2" s="238"/>
      <c r="O2" s="238"/>
      <c r="P2" s="126"/>
      <c r="Q2" s="126"/>
      <c r="R2" s="238"/>
      <c r="S2" s="238"/>
      <c r="T2" s="240"/>
    </row>
    <row r="3" spans="1:25" ht="25.5" hidden="1" customHeight="1" x14ac:dyDescent="0.25">
      <c r="A3" s="237"/>
      <c r="J3" s="122">
        <f>ROUND(D3*G3,2)</f>
        <v>0</v>
      </c>
    </row>
    <row r="4" spans="1:25" ht="27.75" hidden="1" customHeight="1" x14ac:dyDescent="0.25">
      <c r="A4" s="237"/>
      <c r="J4" s="122">
        <f>ROUND(D4*G4,2)</f>
        <v>0</v>
      </c>
    </row>
    <row r="5" spans="1:25" ht="27.75" hidden="1" customHeight="1" x14ac:dyDescent="0.25">
      <c r="A5" s="237"/>
      <c r="J5" s="122">
        <f>ROUND(D5*G5,2)</f>
        <v>0</v>
      </c>
    </row>
    <row r="6" spans="1:25" ht="15" hidden="1" customHeight="1" x14ac:dyDescent="0.25">
      <c r="A6" s="237"/>
    </row>
    <row r="7" spans="1:25" ht="18" hidden="1" customHeight="1" x14ac:dyDescent="0.25">
      <c r="A7" s="244"/>
    </row>
    <row r="8" spans="1:25" ht="18" customHeight="1" x14ac:dyDescent="0.25">
      <c r="A8" s="245"/>
      <c r="B8" s="246"/>
      <c r="G8" s="674" t="s">
        <v>247</v>
      </c>
      <c r="H8" s="674"/>
      <c r="I8" s="674"/>
      <c r="J8" s="674"/>
      <c r="K8" s="674"/>
      <c r="L8" s="247"/>
      <c r="M8" s="248"/>
      <c r="N8" s="248"/>
      <c r="O8" s="248"/>
      <c r="P8" s="127"/>
      <c r="Q8" s="127"/>
      <c r="R8" s="248"/>
      <c r="S8" s="248"/>
      <c r="T8" s="249"/>
      <c r="U8" s="247"/>
      <c r="V8" s="249"/>
    </row>
    <row r="9" spans="1:25" ht="18" customHeight="1" x14ac:dyDescent="0.25">
      <c r="A9" s="245"/>
      <c r="B9" s="246"/>
      <c r="E9" s="678" t="s">
        <v>248</v>
      </c>
      <c r="F9" s="678"/>
      <c r="G9" s="678"/>
      <c r="H9" s="678"/>
      <c r="I9" s="678"/>
      <c r="J9" s="678"/>
      <c r="K9" s="678"/>
      <c r="L9" s="678"/>
      <c r="M9" s="678"/>
      <c r="N9" s="678"/>
      <c r="O9" s="678"/>
      <c r="P9" s="678"/>
      <c r="Q9" s="127"/>
      <c r="R9" s="248"/>
      <c r="S9" s="248"/>
      <c r="T9" s="249"/>
      <c r="U9" s="247"/>
      <c r="V9" s="249"/>
    </row>
    <row r="10" spans="1:25" ht="18" customHeight="1" x14ac:dyDescent="0.25">
      <c r="A10" s="245"/>
      <c r="B10" s="246"/>
      <c r="G10" s="674" t="s">
        <v>258</v>
      </c>
      <c r="H10" s="674"/>
      <c r="I10" s="674"/>
      <c r="J10" s="674"/>
      <c r="K10" s="674"/>
      <c r="L10" s="247"/>
      <c r="M10" s="248"/>
      <c r="N10" s="248"/>
      <c r="O10" s="248"/>
      <c r="P10" s="127"/>
      <c r="Q10" s="127"/>
      <c r="R10" s="248"/>
      <c r="S10" s="248"/>
      <c r="T10" s="249"/>
      <c r="U10" s="247"/>
      <c r="V10" s="249"/>
    </row>
    <row r="11" spans="1:25" ht="18" customHeight="1" x14ac:dyDescent="0.25">
      <c r="A11" s="682" t="s">
        <v>276</v>
      </c>
      <c r="B11" s="682"/>
      <c r="C11" s="682"/>
      <c r="D11" s="682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249"/>
    </row>
    <row r="12" spans="1:25" customFormat="1" ht="15" x14ac:dyDescent="0.25">
      <c r="A12" s="680" t="s">
        <v>274</v>
      </c>
      <c r="B12" s="680"/>
      <c r="C12" s="680"/>
      <c r="D12" s="680"/>
      <c r="E12" s="680"/>
      <c r="F12" s="680"/>
      <c r="G12" s="680"/>
      <c r="H12" s="680"/>
      <c r="I12" s="123">
        <v>1.6</v>
      </c>
      <c r="J12" s="123" t="s">
        <v>96</v>
      </c>
      <c r="K12" s="123"/>
      <c r="L12" s="123"/>
      <c r="M12" s="124"/>
      <c r="N12" s="124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1:25" customFormat="1" ht="15" x14ac:dyDescent="0.25">
      <c r="A13" s="680" t="s">
        <v>275</v>
      </c>
      <c r="B13" s="680"/>
      <c r="C13" s="680"/>
      <c r="D13" s="680"/>
      <c r="E13" s="680"/>
      <c r="F13" s="680"/>
      <c r="G13" s="680"/>
      <c r="H13" s="680"/>
      <c r="I13" s="123">
        <v>1.8</v>
      </c>
      <c r="J13" s="123" t="s">
        <v>96</v>
      </c>
      <c r="K13" s="123"/>
      <c r="L13" s="123"/>
      <c r="M13" s="124"/>
      <c r="N13" s="124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</row>
    <row r="14" spans="1:25" s="50" customFormat="1" ht="33" customHeight="1" x14ac:dyDescent="0.2">
      <c r="A14" s="683" t="s">
        <v>81</v>
      </c>
      <c r="B14" s="675" t="s">
        <v>82</v>
      </c>
      <c r="C14" s="675" t="s">
        <v>83</v>
      </c>
      <c r="D14" s="675" t="s">
        <v>84</v>
      </c>
      <c r="E14" s="675" t="s">
        <v>85</v>
      </c>
      <c r="F14" s="675"/>
      <c r="G14" s="677" t="s">
        <v>86</v>
      </c>
      <c r="H14" s="677" t="s">
        <v>87</v>
      </c>
      <c r="I14" s="677" t="s">
        <v>88</v>
      </c>
      <c r="J14" s="675" t="s">
        <v>89</v>
      </c>
      <c r="K14" s="675"/>
      <c r="L14" s="675"/>
      <c r="M14" s="675"/>
      <c r="N14" s="675"/>
      <c r="O14" s="675"/>
      <c r="P14" s="675" t="s">
        <v>90</v>
      </c>
      <c r="Q14" s="675"/>
      <c r="R14" s="675"/>
      <c r="S14" s="675"/>
      <c r="T14" s="676" t="s">
        <v>273</v>
      </c>
      <c r="U14" s="677" t="s">
        <v>92</v>
      </c>
      <c r="V14" s="676" t="s">
        <v>260</v>
      </c>
      <c r="W14" s="154"/>
      <c r="X14" s="154"/>
      <c r="Y14" s="154"/>
    </row>
    <row r="15" spans="1:25" s="50" customFormat="1" ht="61.5" customHeight="1" x14ac:dyDescent="0.2">
      <c r="A15" s="683"/>
      <c r="B15" s="675"/>
      <c r="C15" s="675"/>
      <c r="D15" s="675"/>
      <c r="E15" s="250" t="s">
        <v>94</v>
      </c>
      <c r="F15" s="250" t="s">
        <v>95</v>
      </c>
      <c r="G15" s="677"/>
      <c r="H15" s="677"/>
      <c r="I15" s="677"/>
      <c r="J15" s="251" t="s">
        <v>96</v>
      </c>
      <c r="K15" s="109" t="s">
        <v>266</v>
      </c>
      <c r="L15" s="109" t="s">
        <v>97</v>
      </c>
      <c r="M15" s="109"/>
      <c r="N15" s="109"/>
      <c r="O15" s="109"/>
      <c r="P15" s="109" t="s">
        <v>98</v>
      </c>
      <c r="Q15" s="109" t="s">
        <v>99</v>
      </c>
      <c r="R15" s="109" t="s">
        <v>100</v>
      </c>
      <c r="S15" s="109" t="s">
        <v>165</v>
      </c>
      <c r="T15" s="676"/>
      <c r="U15" s="677"/>
      <c r="V15" s="676"/>
      <c r="W15" s="154"/>
      <c r="X15" s="154"/>
      <c r="Y15" s="154"/>
    </row>
    <row r="16" spans="1:25" s="145" customFormat="1" ht="16.5" customHeight="1" x14ac:dyDescent="0.2">
      <c r="A16" s="252"/>
      <c r="B16" s="679" t="s">
        <v>101</v>
      </c>
      <c r="C16" s="679"/>
      <c r="D16" s="679"/>
      <c r="E16" s="679"/>
      <c r="F16" s="679"/>
      <c r="G16" s="679"/>
      <c r="H16" s="134"/>
      <c r="I16" s="134"/>
      <c r="J16" s="129"/>
      <c r="K16" s="134"/>
      <c r="L16" s="134"/>
      <c r="M16" s="253"/>
      <c r="N16" s="253"/>
      <c r="O16" s="253"/>
      <c r="P16" s="129"/>
      <c r="Q16" s="129"/>
      <c r="R16" s="253"/>
      <c r="S16" s="253"/>
      <c r="T16" s="254"/>
      <c r="U16" s="134"/>
      <c r="V16" s="254"/>
      <c r="W16" s="255"/>
      <c r="X16" s="255"/>
      <c r="Y16" s="255"/>
    </row>
    <row r="17" spans="1:25" s="74" customFormat="1" ht="25.5" customHeight="1" x14ac:dyDescent="0.2">
      <c r="A17" s="103">
        <v>1</v>
      </c>
      <c r="B17" s="104" t="s">
        <v>0</v>
      </c>
      <c r="C17" s="105">
        <v>1</v>
      </c>
      <c r="D17" s="105">
        <v>3.8</v>
      </c>
      <c r="E17" s="105"/>
      <c r="F17" s="105"/>
      <c r="G17" s="106">
        <f>H17</f>
        <v>25710.328799999999</v>
      </c>
      <c r="H17" s="106">
        <f>2379*1.8*1.58*D17</f>
        <v>25710.328799999999</v>
      </c>
      <c r="I17" s="108"/>
      <c r="J17" s="256"/>
      <c r="K17" s="106"/>
      <c r="L17" s="108"/>
      <c r="M17" s="257"/>
      <c r="N17" s="257"/>
      <c r="O17" s="257"/>
      <c r="P17" s="105"/>
      <c r="Q17" s="105"/>
      <c r="R17" s="257"/>
      <c r="S17" s="122"/>
      <c r="T17" s="106"/>
      <c r="U17" s="106">
        <f>H17</f>
        <v>25710.328799999999</v>
      </c>
      <c r="V17" s="106">
        <f>U17*5</f>
        <v>128551.644</v>
      </c>
      <c r="W17" s="154"/>
      <c r="X17" s="154"/>
      <c r="Y17" s="154"/>
    </row>
    <row r="18" spans="1:25" s="74" customFormat="1" ht="11.25" x14ac:dyDescent="0.2">
      <c r="A18" s="103">
        <v>2</v>
      </c>
      <c r="B18" s="104" t="s">
        <v>1</v>
      </c>
      <c r="C18" s="105">
        <v>1</v>
      </c>
      <c r="D18" s="105">
        <v>3.4</v>
      </c>
      <c r="E18" s="105"/>
      <c r="F18" s="105"/>
      <c r="G18" s="106">
        <f t="shared" ref="G18:G32" si="0">H18</f>
        <v>23003.9784</v>
      </c>
      <c r="H18" s="106">
        <f t="shared" ref="H18:H31" si="1">2379*1.8*1.58*D18</f>
        <v>23003.9784</v>
      </c>
      <c r="I18" s="106"/>
      <c r="J18" s="256"/>
      <c r="K18" s="106"/>
      <c r="L18" s="108"/>
      <c r="M18" s="103"/>
      <c r="N18" s="103"/>
      <c r="O18" s="103"/>
      <c r="P18" s="103"/>
      <c r="Q18" s="103"/>
      <c r="R18" s="103"/>
      <c r="S18" s="122"/>
      <c r="T18" s="106">
        <f>H18*[1]чернетка!I13/100</f>
        <v>2300.3978399999996</v>
      </c>
      <c r="U18" s="106">
        <f>H18+T18</f>
        <v>25304.376239999998</v>
      </c>
      <c r="V18" s="106">
        <f t="shared" ref="V18:V31" si="2">U18*5</f>
        <v>126521.88119999999</v>
      </c>
      <c r="W18" s="154"/>
      <c r="X18" s="154"/>
      <c r="Y18" s="154"/>
    </row>
    <row r="19" spans="1:25" s="74" customFormat="1" ht="11.25" x14ac:dyDescent="0.2">
      <c r="A19" s="103">
        <v>3</v>
      </c>
      <c r="B19" s="104" t="s">
        <v>2</v>
      </c>
      <c r="C19" s="105">
        <v>1</v>
      </c>
      <c r="D19" s="105">
        <v>3.2</v>
      </c>
      <c r="E19" s="105"/>
      <c r="F19" s="105"/>
      <c r="G19" s="106">
        <f t="shared" si="0"/>
        <v>21650.803200000002</v>
      </c>
      <c r="H19" s="106">
        <f t="shared" si="1"/>
        <v>21650.803200000002</v>
      </c>
      <c r="I19" s="106"/>
      <c r="J19" s="256"/>
      <c r="K19" s="106"/>
      <c r="L19" s="108"/>
      <c r="M19" s="103"/>
      <c r="N19" s="103"/>
      <c r="O19" s="103"/>
      <c r="P19" s="103"/>
      <c r="Q19" s="103"/>
      <c r="R19" s="103"/>
      <c r="S19" s="122"/>
      <c r="T19" s="106">
        <f>H19*[1]чернетка!I14/100</f>
        <v>2165.08032</v>
      </c>
      <c r="U19" s="106">
        <f t="shared" ref="U19:U31" si="3">H19+T19</f>
        <v>23815.883520000003</v>
      </c>
      <c r="V19" s="106">
        <f t="shared" si="2"/>
        <v>119079.41760000002</v>
      </c>
      <c r="W19" s="154"/>
      <c r="X19" s="154"/>
      <c r="Y19" s="154"/>
    </row>
    <row r="20" spans="1:25" s="74" customFormat="1" ht="22.5" x14ac:dyDescent="0.2">
      <c r="A20" s="103">
        <v>4</v>
      </c>
      <c r="B20" s="104" t="s">
        <v>102</v>
      </c>
      <c r="C20" s="105">
        <v>1</v>
      </c>
      <c r="D20" s="105">
        <v>3.2</v>
      </c>
      <c r="E20" s="105"/>
      <c r="F20" s="105"/>
      <c r="G20" s="106">
        <f t="shared" si="0"/>
        <v>21650.803200000002</v>
      </c>
      <c r="H20" s="106">
        <f t="shared" si="1"/>
        <v>21650.803200000002</v>
      </c>
      <c r="I20" s="106"/>
      <c r="J20" s="256"/>
      <c r="K20" s="106"/>
      <c r="L20" s="108"/>
      <c r="M20" s="103"/>
      <c r="N20" s="103"/>
      <c r="O20" s="103"/>
      <c r="P20" s="103"/>
      <c r="Q20" s="103"/>
      <c r="R20" s="103"/>
      <c r="S20" s="122"/>
      <c r="T20" s="106">
        <f>H20*[1]чернетка!I15/100</f>
        <v>2165.08032</v>
      </c>
      <c r="U20" s="106">
        <f t="shared" si="3"/>
        <v>23815.883520000003</v>
      </c>
      <c r="V20" s="106">
        <f t="shared" si="2"/>
        <v>119079.41760000002</v>
      </c>
      <c r="W20" s="154"/>
      <c r="X20" s="154"/>
      <c r="Y20" s="154"/>
    </row>
    <row r="21" spans="1:25" s="74" customFormat="1" ht="11.25" x14ac:dyDescent="0.2">
      <c r="A21" s="103">
        <v>5</v>
      </c>
      <c r="B21" s="104" t="s">
        <v>103</v>
      </c>
      <c r="C21" s="105">
        <v>1</v>
      </c>
      <c r="D21" s="105">
        <v>1.8</v>
      </c>
      <c r="E21" s="105"/>
      <c r="F21" s="105"/>
      <c r="G21" s="106">
        <f t="shared" si="0"/>
        <v>12178.576800000001</v>
      </c>
      <c r="H21" s="106">
        <f t="shared" si="1"/>
        <v>12178.576800000001</v>
      </c>
      <c r="I21" s="106"/>
      <c r="J21" s="256"/>
      <c r="K21" s="106"/>
      <c r="L21" s="108"/>
      <c r="M21" s="103"/>
      <c r="N21" s="103"/>
      <c r="O21" s="103"/>
      <c r="P21" s="103"/>
      <c r="Q21" s="103"/>
      <c r="R21" s="103"/>
      <c r="S21" s="122"/>
      <c r="T21" s="106">
        <f>H21*[1]чернетка!I16/100</f>
        <v>608.92884000000004</v>
      </c>
      <c r="U21" s="106">
        <f t="shared" si="3"/>
        <v>12787.505640000001</v>
      </c>
      <c r="V21" s="106">
        <f t="shared" si="2"/>
        <v>63937.528200000008</v>
      </c>
      <c r="W21" s="154"/>
      <c r="X21" s="154"/>
      <c r="Y21" s="154"/>
    </row>
    <row r="22" spans="1:25" s="74" customFormat="1" ht="11.25" x14ac:dyDescent="0.2">
      <c r="A22" s="103">
        <v>6</v>
      </c>
      <c r="B22" s="104" t="s">
        <v>3</v>
      </c>
      <c r="C22" s="105">
        <v>1</v>
      </c>
      <c r="D22" s="105">
        <v>1.8</v>
      </c>
      <c r="E22" s="105"/>
      <c r="F22" s="105"/>
      <c r="G22" s="106">
        <f t="shared" si="0"/>
        <v>12178.576800000001</v>
      </c>
      <c r="H22" s="106">
        <f t="shared" si="1"/>
        <v>12178.576800000001</v>
      </c>
      <c r="I22" s="106"/>
      <c r="J22" s="256"/>
      <c r="K22" s="106"/>
      <c r="L22" s="108"/>
      <c r="M22" s="103"/>
      <c r="N22" s="103"/>
      <c r="O22" s="103"/>
      <c r="P22" s="103"/>
      <c r="Q22" s="103"/>
      <c r="R22" s="103"/>
      <c r="S22" s="122"/>
      <c r="T22" s="106">
        <f>H22*[1]чернетка!I17/100</f>
        <v>608.92884000000004</v>
      </c>
      <c r="U22" s="106">
        <f t="shared" si="3"/>
        <v>12787.505640000001</v>
      </c>
      <c r="V22" s="106">
        <f t="shared" si="2"/>
        <v>63937.528200000008</v>
      </c>
      <c r="W22" s="154"/>
      <c r="X22" s="154"/>
      <c r="Y22" s="154"/>
    </row>
    <row r="23" spans="1:25" s="74" customFormat="1" ht="11.25" x14ac:dyDescent="0.2">
      <c r="A23" s="103">
        <v>7</v>
      </c>
      <c r="B23" s="104" t="s">
        <v>4</v>
      </c>
      <c r="C23" s="105">
        <v>1</v>
      </c>
      <c r="D23" s="105">
        <v>1.9</v>
      </c>
      <c r="E23" s="105"/>
      <c r="F23" s="105"/>
      <c r="G23" s="106">
        <f t="shared" si="0"/>
        <v>12855.1644</v>
      </c>
      <c r="H23" s="106">
        <f t="shared" si="1"/>
        <v>12855.1644</v>
      </c>
      <c r="I23" s="106"/>
      <c r="J23" s="256"/>
      <c r="K23" s="106"/>
      <c r="L23" s="108"/>
      <c r="M23" s="103"/>
      <c r="N23" s="103"/>
      <c r="O23" s="103"/>
      <c r="P23" s="103"/>
      <c r="Q23" s="103"/>
      <c r="R23" s="103"/>
      <c r="S23" s="122"/>
      <c r="T23" s="106">
        <f>H23*[1]чернетка!I18/100</f>
        <v>1285.5164400000001</v>
      </c>
      <c r="U23" s="106">
        <f t="shared" si="3"/>
        <v>14140.680839999999</v>
      </c>
      <c r="V23" s="106">
        <f t="shared" si="2"/>
        <v>70703.40419999999</v>
      </c>
      <c r="W23" s="154"/>
      <c r="X23" s="154"/>
      <c r="Y23" s="154"/>
    </row>
    <row r="24" spans="1:25" s="74" customFormat="1" ht="11.25" x14ac:dyDescent="0.2">
      <c r="A24" s="103">
        <v>8</v>
      </c>
      <c r="B24" s="104" t="s">
        <v>5</v>
      </c>
      <c r="C24" s="105">
        <v>1</v>
      </c>
      <c r="D24" s="105">
        <v>1.8</v>
      </c>
      <c r="E24" s="105"/>
      <c r="F24" s="105"/>
      <c r="G24" s="106">
        <f t="shared" si="0"/>
        <v>12178.576800000001</v>
      </c>
      <c r="H24" s="106">
        <f t="shared" si="1"/>
        <v>12178.576800000001</v>
      </c>
      <c r="I24" s="106"/>
      <c r="J24" s="256"/>
      <c r="K24" s="106"/>
      <c r="L24" s="108"/>
      <c r="M24" s="103"/>
      <c r="N24" s="103"/>
      <c r="O24" s="103"/>
      <c r="P24" s="103"/>
      <c r="Q24" s="103"/>
      <c r="R24" s="103"/>
      <c r="S24" s="122"/>
      <c r="T24" s="106">
        <f>H24*[1]чернетка!I19/100</f>
        <v>608.92884000000004</v>
      </c>
      <c r="U24" s="106">
        <f t="shared" si="3"/>
        <v>12787.505640000001</v>
      </c>
      <c r="V24" s="106">
        <f t="shared" si="2"/>
        <v>63937.528200000008</v>
      </c>
      <c r="W24" s="154"/>
      <c r="X24" s="154"/>
      <c r="Y24" s="154"/>
    </row>
    <row r="25" spans="1:25" s="74" customFormat="1" ht="22.5" x14ac:dyDescent="0.2">
      <c r="A25" s="103">
        <v>9</v>
      </c>
      <c r="B25" s="258" t="s">
        <v>249</v>
      </c>
      <c r="C25" s="105">
        <v>1</v>
      </c>
      <c r="D25" s="105">
        <v>1.8</v>
      </c>
      <c r="E25" s="105"/>
      <c r="F25" s="105"/>
      <c r="G25" s="106">
        <f t="shared" si="0"/>
        <v>12178.576800000001</v>
      </c>
      <c r="H25" s="106">
        <f t="shared" si="1"/>
        <v>12178.576800000001</v>
      </c>
      <c r="I25" s="106"/>
      <c r="J25" s="256"/>
      <c r="K25" s="106"/>
      <c r="L25" s="108"/>
      <c r="M25" s="103"/>
      <c r="N25" s="103"/>
      <c r="O25" s="103"/>
      <c r="P25" s="103"/>
      <c r="Q25" s="103"/>
      <c r="R25" s="103"/>
      <c r="S25" s="122"/>
      <c r="T25" s="106">
        <f>H25*[1]чернетка!I20/100</f>
        <v>608.92884000000004</v>
      </c>
      <c r="U25" s="106">
        <f t="shared" si="3"/>
        <v>12787.505640000001</v>
      </c>
      <c r="V25" s="106">
        <f t="shared" si="2"/>
        <v>63937.528200000008</v>
      </c>
      <c r="W25" s="154"/>
      <c r="X25" s="154"/>
      <c r="Y25" s="154"/>
    </row>
    <row r="26" spans="1:25" s="74" customFormat="1" ht="15.75" customHeight="1" x14ac:dyDescent="0.2">
      <c r="A26" s="103">
        <v>10</v>
      </c>
      <c r="B26" s="104" t="s">
        <v>6</v>
      </c>
      <c r="C26" s="105">
        <v>1</v>
      </c>
      <c r="D26" s="105">
        <v>1.7</v>
      </c>
      <c r="E26" s="105"/>
      <c r="F26" s="105"/>
      <c r="G26" s="106">
        <f t="shared" si="0"/>
        <v>11501.9892</v>
      </c>
      <c r="H26" s="106">
        <f t="shared" si="1"/>
        <v>11501.9892</v>
      </c>
      <c r="I26" s="106"/>
      <c r="J26" s="256"/>
      <c r="K26" s="106"/>
      <c r="L26" s="108"/>
      <c r="M26" s="103"/>
      <c r="N26" s="103"/>
      <c r="O26" s="103"/>
      <c r="P26" s="103"/>
      <c r="Q26" s="103"/>
      <c r="R26" s="103"/>
      <c r="S26" s="122"/>
      <c r="T26" s="106">
        <f>H26*[1]чернетка!I21/100</f>
        <v>575.09945999999991</v>
      </c>
      <c r="U26" s="106">
        <f t="shared" si="3"/>
        <v>12077.088659999999</v>
      </c>
      <c r="V26" s="106">
        <f t="shared" si="2"/>
        <v>60385.443299999999</v>
      </c>
      <c r="W26" s="154"/>
      <c r="X26" s="154"/>
      <c r="Y26" s="154"/>
    </row>
    <row r="27" spans="1:25" s="74" customFormat="1" ht="15.75" customHeight="1" x14ac:dyDescent="0.2">
      <c r="A27" s="103">
        <v>11</v>
      </c>
      <c r="B27" s="104" t="s">
        <v>104</v>
      </c>
      <c r="C27" s="105">
        <v>1</v>
      </c>
      <c r="D27" s="105">
        <v>1.2</v>
      </c>
      <c r="E27" s="105"/>
      <c r="F27" s="105"/>
      <c r="G27" s="106">
        <f t="shared" si="0"/>
        <v>8119.0511999999999</v>
      </c>
      <c r="H27" s="106">
        <f t="shared" si="1"/>
        <v>8119.0511999999999</v>
      </c>
      <c r="I27" s="106"/>
      <c r="J27" s="256"/>
      <c r="K27" s="106"/>
      <c r="L27" s="108"/>
      <c r="M27" s="103"/>
      <c r="N27" s="103"/>
      <c r="O27" s="103"/>
      <c r="P27" s="103"/>
      <c r="Q27" s="103"/>
      <c r="R27" s="103"/>
      <c r="S27" s="122"/>
      <c r="T27" s="106">
        <f>H27*[1]чернетка!I22/100</f>
        <v>405.95256000000001</v>
      </c>
      <c r="U27" s="106">
        <f t="shared" si="3"/>
        <v>8525.0037599999996</v>
      </c>
      <c r="V27" s="106">
        <f t="shared" si="2"/>
        <v>42625.018799999998</v>
      </c>
      <c r="W27" s="154"/>
      <c r="X27" s="154"/>
      <c r="Y27" s="154"/>
    </row>
    <row r="28" spans="1:25" s="74" customFormat="1" ht="22.5" x14ac:dyDescent="0.2">
      <c r="A28" s="103">
        <v>12</v>
      </c>
      <c r="B28" s="104" t="s">
        <v>105</v>
      </c>
      <c r="C28" s="105">
        <v>1</v>
      </c>
      <c r="D28" s="105">
        <v>1.9</v>
      </c>
      <c r="E28" s="105"/>
      <c r="F28" s="105"/>
      <c r="G28" s="106">
        <f t="shared" si="0"/>
        <v>12855.1644</v>
      </c>
      <c r="H28" s="106">
        <f t="shared" si="1"/>
        <v>12855.1644</v>
      </c>
      <c r="I28" s="106"/>
      <c r="J28" s="256"/>
      <c r="K28" s="106"/>
      <c r="L28" s="108"/>
      <c r="M28" s="103"/>
      <c r="N28" s="103"/>
      <c r="O28" s="103"/>
      <c r="P28" s="103"/>
      <c r="Q28" s="103"/>
      <c r="R28" s="103"/>
      <c r="S28" s="122"/>
      <c r="T28" s="106">
        <f>H28*[1]чернетка!I23/100</f>
        <v>642.75822000000005</v>
      </c>
      <c r="U28" s="106">
        <f t="shared" si="3"/>
        <v>13497.922619999999</v>
      </c>
      <c r="V28" s="106">
        <f t="shared" si="2"/>
        <v>67489.613100000002</v>
      </c>
      <c r="W28" s="154"/>
      <c r="X28" s="154"/>
      <c r="Y28" s="154"/>
    </row>
    <row r="29" spans="1:25" s="74" customFormat="1" ht="22.5" x14ac:dyDescent="0.2">
      <c r="A29" s="103">
        <v>13</v>
      </c>
      <c r="B29" s="104" t="s">
        <v>7</v>
      </c>
      <c r="C29" s="105">
        <v>1</v>
      </c>
      <c r="D29" s="105">
        <v>1.7</v>
      </c>
      <c r="E29" s="105"/>
      <c r="F29" s="105"/>
      <c r="G29" s="106">
        <f t="shared" si="0"/>
        <v>11501.9892</v>
      </c>
      <c r="H29" s="106">
        <f t="shared" si="1"/>
        <v>11501.9892</v>
      </c>
      <c r="I29" s="106"/>
      <c r="J29" s="256"/>
      <c r="K29" s="106"/>
      <c r="L29" s="108"/>
      <c r="M29" s="103"/>
      <c r="N29" s="103"/>
      <c r="O29" s="103"/>
      <c r="P29" s="103"/>
      <c r="Q29" s="103"/>
      <c r="R29" s="103"/>
      <c r="S29" s="122"/>
      <c r="T29" s="106">
        <f>H29*[1]чернетка!I24/100</f>
        <v>575.09945999999991</v>
      </c>
      <c r="U29" s="106">
        <f t="shared" si="3"/>
        <v>12077.088659999999</v>
      </c>
      <c r="V29" s="106">
        <f t="shared" si="2"/>
        <v>60385.443299999999</v>
      </c>
      <c r="W29" s="154"/>
      <c r="X29" s="154"/>
      <c r="Y29" s="154"/>
    </row>
    <row r="30" spans="1:25" s="74" customFormat="1" ht="38.25" customHeight="1" x14ac:dyDescent="0.2">
      <c r="A30" s="103">
        <v>14</v>
      </c>
      <c r="B30" s="104" t="s">
        <v>9</v>
      </c>
      <c r="C30" s="105">
        <v>1</v>
      </c>
      <c r="D30" s="105">
        <v>1.7</v>
      </c>
      <c r="E30" s="105"/>
      <c r="F30" s="105"/>
      <c r="G30" s="106">
        <f t="shared" si="0"/>
        <v>11501.9892</v>
      </c>
      <c r="H30" s="106">
        <f t="shared" si="1"/>
        <v>11501.9892</v>
      </c>
      <c r="I30" s="106"/>
      <c r="J30" s="256"/>
      <c r="K30" s="106"/>
      <c r="L30" s="108"/>
      <c r="M30" s="103"/>
      <c r="N30" s="103"/>
      <c r="O30" s="103"/>
      <c r="P30" s="103"/>
      <c r="Q30" s="103"/>
      <c r="R30" s="103"/>
      <c r="S30" s="122"/>
      <c r="T30" s="106">
        <f>H30*[1]чернетка!I25/100</f>
        <v>575.09945999999991</v>
      </c>
      <c r="U30" s="106">
        <f t="shared" si="3"/>
        <v>12077.088659999999</v>
      </c>
      <c r="V30" s="106">
        <f t="shared" si="2"/>
        <v>60385.443299999999</v>
      </c>
      <c r="W30" s="154"/>
      <c r="X30" s="154"/>
      <c r="Y30" s="154"/>
    </row>
    <row r="31" spans="1:25" s="74" customFormat="1" ht="16.5" customHeight="1" x14ac:dyDescent="0.2">
      <c r="A31" s="103">
        <v>15</v>
      </c>
      <c r="B31" s="104" t="s">
        <v>8</v>
      </c>
      <c r="C31" s="105">
        <v>1</v>
      </c>
      <c r="D31" s="105">
        <v>1.7</v>
      </c>
      <c r="E31" s="105"/>
      <c r="F31" s="105"/>
      <c r="G31" s="106">
        <f t="shared" si="0"/>
        <v>11501.9892</v>
      </c>
      <c r="H31" s="106">
        <f t="shared" si="1"/>
        <v>11501.9892</v>
      </c>
      <c r="I31" s="106"/>
      <c r="J31" s="256"/>
      <c r="K31" s="106"/>
      <c r="L31" s="108"/>
      <c r="M31" s="103"/>
      <c r="N31" s="103"/>
      <c r="O31" s="103"/>
      <c r="P31" s="103"/>
      <c r="Q31" s="103"/>
      <c r="R31" s="103"/>
      <c r="S31" s="103"/>
      <c r="T31" s="106">
        <f>H31*[1]чернетка!I26/100</f>
        <v>575.09945999999991</v>
      </c>
      <c r="U31" s="106">
        <f t="shared" si="3"/>
        <v>12077.088659999999</v>
      </c>
      <c r="V31" s="106">
        <f t="shared" si="2"/>
        <v>60385.443299999999</v>
      </c>
      <c r="W31" s="154"/>
      <c r="X31" s="154"/>
      <c r="Y31" s="154"/>
    </row>
    <row r="32" spans="1:25" s="146" customFormat="1" ht="36.75" customHeight="1" x14ac:dyDescent="0.2">
      <c r="A32" s="103">
        <v>16</v>
      </c>
      <c r="B32" s="134" t="s">
        <v>106</v>
      </c>
      <c r="C32" s="259">
        <v>15</v>
      </c>
      <c r="D32" s="259"/>
      <c r="E32" s="259"/>
      <c r="F32" s="259"/>
      <c r="G32" s="119">
        <f t="shared" si="0"/>
        <v>220567.55760000003</v>
      </c>
      <c r="H32" s="130">
        <f>SUM(H17:H31)</f>
        <v>220567.55760000003</v>
      </c>
      <c r="I32" s="130">
        <f t="shared" ref="I32:T32" si="4">SUM(I17:I31)</f>
        <v>0</v>
      </c>
      <c r="J32" s="130">
        <f t="shared" si="4"/>
        <v>0</v>
      </c>
      <c r="K32" s="130">
        <f t="shared" si="4"/>
        <v>0</v>
      </c>
      <c r="L32" s="130">
        <f t="shared" si="4"/>
        <v>0</v>
      </c>
      <c r="M32" s="130">
        <f t="shared" si="4"/>
        <v>0</v>
      </c>
      <c r="N32" s="130">
        <f t="shared" si="4"/>
        <v>0</v>
      </c>
      <c r="O32" s="130">
        <f t="shared" si="4"/>
        <v>0</v>
      </c>
      <c r="P32" s="130">
        <f t="shared" si="4"/>
        <v>0</v>
      </c>
      <c r="Q32" s="130">
        <f t="shared" si="4"/>
        <v>0</v>
      </c>
      <c r="R32" s="130">
        <f t="shared" si="4"/>
        <v>0</v>
      </c>
      <c r="S32" s="130">
        <f t="shared" si="4"/>
        <v>0</v>
      </c>
      <c r="T32" s="130">
        <f t="shared" si="4"/>
        <v>13700.898899999998</v>
      </c>
      <c r="U32" s="130">
        <f t="shared" ref="U32" si="5">SUM(U17:U31)</f>
        <v>234268.4565</v>
      </c>
      <c r="V32" s="130">
        <f t="shared" ref="V32" si="6">SUM(V17:V31)</f>
        <v>1171342.2825</v>
      </c>
      <c r="W32" s="260"/>
      <c r="X32" s="260"/>
      <c r="Y32" s="260"/>
    </row>
    <row r="33" spans="1:25" s="141" customFormat="1" ht="11.25" x14ac:dyDescent="0.2">
      <c r="A33" s="103">
        <v>17</v>
      </c>
      <c r="B33" s="685" t="s">
        <v>107</v>
      </c>
      <c r="C33" s="685"/>
      <c r="D33" s="685"/>
      <c r="E33" s="685"/>
      <c r="F33" s="685"/>
      <c r="G33" s="685"/>
      <c r="H33" s="119"/>
      <c r="I33" s="119"/>
      <c r="J33" s="112"/>
      <c r="K33" s="140"/>
      <c r="L33" s="140"/>
      <c r="M33" s="112"/>
      <c r="N33" s="112"/>
      <c r="O33" s="112"/>
      <c r="P33" s="112"/>
      <c r="Q33" s="112"/>
      <c r="R33" s="112"/>
      <c r="S33" s="112"/>
      <c r="T33" s="119"/>
      <c r="U33" s="140"/>
      <c r="V33" s="119"/>
      <c r="W33" s="152"/>
      <c r="X33" s="152"/>
      <c r="Y33" s="152"/>
    </row>
    <row r="34" spans="1:25" s="74" customFormat="1" ht="24" customHeight="1" x14ac:dyDescent="0.2">
      <c r="A34" s="103">
        <v>18</v>
      </c>
      <c r="B34" s="104" t="s">
        <v>10</v>
      </c>
      <c r="C34" s="105">
        <v>1</v>
      </c>
      <c r="D34" s="105">
        <v>2.15</v>
      </c>
      <c r="E34" s="105"/>
      <c r="F34" s="105"/>
      <c r="G34" s="106">
        <f>H34</f>
        <v>14546.633400000001</v>
      </c>
      <c r="H34" s="106">
        <f t="shared" ref="H34:H42" si="7">2379*1.8*1.58*D34</f>
        <v>14546.633400000001</v>
      </c>
      <c r="I34" s="106"/>
      <c r="J34" s="261"/>
      <c r="K34" s="106">
        <v>0</v>
      </c>
      <c r="L34" s="108"/>
      <c r="M34" s="103"/>
      <c r="N34" s="103"/>
      <c r="O34" s="103"/>
      <c r="P34" s="103"/>
      <c r="Q34" s="103"/>
      <c r="R34" s="103"/>
      <c r="S34" s="103"/>
      <c r="T34" s="106">
        <f>H34*[1]чернетка!I28/100</f>
        <v>1454.6633400000001</v>
      </c>
      <c r="U34" s="106">
        <f>(H34+T34)*C34</f>
        <v>16001.296740000002</v>
      </c>
      <c r="V34" s="106">
        <f t="shared" ref="V34:V42" si="8">U34*5</f>
        <v>80006.483700000012</v>
      </c>
      <c r="W34" s="154"/>
      <c r="X34" s="154"/>
      <c r="Y34" s="154"/>
    </row>
    <row r="35" spans="1:25" s="74" customFormat="1" ht="30.75" customHeight="1" x14ac:dyDescent="0.2">
      <c r="A35" s="103">
        <v>19</v>
      </c>
      <c r="B35" s="104" t="s">
        <v>11</v>
      </c>
      <c r="C35" s="105">
        <v>1</v>
      </c>
      <c r="D35" s="105">
        <v>1.7</v>
      </c>
      <c r="E35" s="105"/>
      <c r="F35" s="105"/>
      <c r="G35" s="106">
        <f t="shared" ref="G35:G43" si="9">H35</f>
        <v>11501.9892</v>
      </c>
      <c r="H35" s="106">
        <f t="shared" si="7"/>
        <v>11501.9892</v>
      </c>
      <c r="I35" s="106"/>
      <c r="J35" s="261"/>
      <c r="K35" s="106">
        <v>0</v>
      </c>
      <c r="L35" s="108"/>
      <c r="M35" s="103"/>
      <c r="N35" s="103"/>
      <c r="O35" s="103"/>
      <c r="P35" s="103"/>
      <c r="Q35" s="103"/>
      <c r="R35" s="103"/>
      <c r="S35" s="103"/>
      <c r="T35" s="106">
        <f>H35*[1]чернетка!I29/100</f>
        <v>575.09945999999991</v>
      </c>
      <c r="U35" s="106">
        <f t="shared" ref="U35:U37" si="10">(H35+T35)*C35</f>
        <v>12077.088659999999</v>
      </c>
      <c r="V35" s="106">
        <f t="shared" si="8"/>
        <v>60385.443299999999</v>
      </c>
      <c r="W35" s="154"/>
      <c r="X35" s="154"/>
      <c r="Y35" s="154"/>
    </row>
    <row r="36" spans="1:25" s="74" customFormat="1" ht="11.25" x14ac:dyDescent="0.2">
      <c r="A36" s="103">
        <v>20</v>
      </c>
      <c r="B36" s="104" t="s">
        <v>8</v>
      </c>
      <c r="C36" s="105">
        <v>2</v>
      </c>
      <c r="D36" s="105">
        <v>1.7</v>
      </c>
      <c r="E36" s="105"/>
      <c r="F36" s="105"/>
      <c r="G36" s="106">
        <f t="shared" si="9"/>
        <v>11501.9892</v>
      </c>
      <c r="H36" s="106">
        <f t="shared" si="7"/>
        <v>11501.9892</v>
      </c>
      <c r="I36" s="106"/>
      <c r="J36" s="261"/>
      <c r="K36" s="106">
        <v>0</v>
      </c>
      <c r="L36" s="108"/>
      <c r="M36" s="103"/>
      <c r="N36" s="103"/>
      <c r="O36" s="103"/>
      <c r="P36" s="103"/>
      <c r="Q36" s="103"/>
      <c r="R36" s="103"/>
      <c r="S36" s="103"/>
      <c r="T36" s="106">
        <f>H36*[1]чернетка!I30/100</f>
        <v>575.09945999999991</v>
      </c>
      <c r="U36" s="106">
        <f t="shared" si="10"/>
        <v>24154.177319999999</v>
      </c>
      <c r="V36" s="106">
        <f t="shared" si="8"/>
        <v>120770.8866</v>
      </c>
      <c r="W36" s="154"/>
      <c r="X36" s="154"/>
      <c r="Y36" s="154"/>
    </row>
    <row r="37" spans="1:25" s="74" customFormat="1" ht="22.5" x14ac:dyDescent="0.2">
      <c r="A37" s="103">
        <v>21</v>
      </c>
      <c r="B37" s="104" t="s">
        <v>108</v>
      </c>
      <c r="C37" s="105">
        <v>1</v>
      </c>
      <c r="D37" s="105">
        <v>1.8</v>
      </c>
      <c r="E37" s="105"/>
      <c r="F37" s="105"/>
      <c r="G37" s="106">
        <f t="shared" si="9"/>
        <v>12178.576800000001</v>
      </c>
      <c r="H37" s="106">
        <f t="shared" si="7"/>
        <v>12178.576800000001</v>
      </c>
      <c r="I37" s="106"/>
      <c r="J37" s="261"/>
      <c r="K37" s="106">
        <v>0</v>
      </c>
      <c r="L37" s="108"/>
      <c r="M37" s="103"/>
      <c r="N37" s="103"/>
      <c r="O37" s="103"/>
      <c r="P37" s="103"/>
      <c r="Q37" s="103"/>
      <c r="R37" s="103"/>
      <c r="S37" s="103"/>
      <c r="T37" s="106">
        <f>H37*[1]чернетка!I31/100</f>
        <v>608.92884000000004</v>
      </c>
      <c r="U37" s="106">
        <f t="shared" si="10"/>
        <v>12787.505640000001</v>
      </c>
      <c r="V37" s="106">
        <f t="shared" si="8"/>
        <v>63937.528200000008</v>
      </c>
      <c r="W37" s="154"/>
      <c r="X37" s="154"/>
      <c r="Y37" s="154"/>
    </row>
    <row r="38" spans="1:25" s="147" customFormat="1" ht="11.25" x14ac:dyDescent="0.2">
      <c r="A38" s="103">
        <v>22</v>
      </c>
      <c r="B38" s="97" t="s">
        <v>109</v>
      </c>
      <c r="C38" s="96">
        <v>5</v>
      </c>
      <c r="D38" s="96"/>
      <c r="E38" s="96"/>
      <c r="F38" s="96"/>
      <c r="G38" s="98">
        <f t="shared" si="9"/>
        <v>49729.188600000001</v>
      </c>
      <c r="H38" s="98">
        <f>SUM(H34:H37)</f>
        <v>49729.188600000001</v>
      </c>
      <c r="I38" s="98">
        <f t="shared" ref="I38:T38" si="11">SUM(I34:I37)</f>
        <v>0</v>
      </c>
      <c r="J38" s="98">
        <f t="shared" si="11"/>
        <v>0</v>
      </c>
      <c r="K38" s="98">
        <f t="shared" si="11"/>
        <v>0</v>
      </c>
      <c r="L38" s="98">
        <f t="shared" si="11"/>
        <v>0</v>
      </c>
      <c r="M38" s="98">
        <f t="shared" si="11"/>
        <v>0</v>
      </c>
      <c r="N38" s="98">
        <f t="shared" si="11"/>
        <v>0</v>
      </c>
      <c r="O38" s="98">
        <f t="shared" si="11"/>
        <v>0</v>
      </c>
      <c r="P38" s="98">
        <f t="shared" si="11"/>
        <v>0</v>
      </c>
      <c r="Q38" s="98">
        <f t="shared" si="11"/>
        <v>0</v>
      </c>
      <c r="R38" s="98">
        <f t="shared" si="11"/>
        <v>0</v>
      </c>
      <c r="S38" s="98">
        <f t="shared" si="11"/>
        <v>0</v>
      </c>
      <c r="T38" s="98">
        <f t="shared" si="11"/>
        <v>3213.7910999999999</v>
      </c>
      <c r="U38" s="98">
        <f t="shared" ref="U38" si="12">SUM(U34:U37)</f>
        <v>65020.068360000005</v>
      </c>
      <c r="V38" s="98">
        <f t="shared" ref="V38" si="13">SUM(V34:V37)</f>
        <v>325100.34180000005</v>
      </c>
    </row>
    <row r="39" spans="1:25" s="74" customFormat="1" ht="22.5" x14ac:dyDescent="0.2">
      <c r="A39" s="103">
        <v>23</v>
      </c>
      <c r="B39" s="104" t="s">
        <v>110</v>
      </c>
      <c r="C39" s="105">
        <v>3</v>
      </c>
      <c r="D39" s="105">
        <v>1.3</v>
      </c>
      <c r="E39" s="105"/>
      <c r="F39" s="105"/>
      <c r="G39" s="106">
        <f t="shared" si="9"/>
        <v>8795.6388000000006</v>
      </c>
      <c r="H39" s="106">
        <f t="shared" si="7"/>
        <v>8795.6388000000006</v>
      </c>
      <c r="I39" s="106"/>
      <c r="J39" s="261"/>
      <c r="K39" s="106">
        <v>0</v>
      </c>
      <c r="L39" s="108"/>
      <c r="M39" s="103"/>
      <c r="N39" s="103"/>
      <c r="O39" s="103"/>
      <c r="P39" s="103"/>
      <c r="Q39" s="103"/>
      <c r="R39" s="103"/>
      <c r="S39" s="103"/>
      <c r="T39" s="106">
        <f>H39*[1]чернетка!I32/100</f>
        <v>439.78194000000002</v>
      </c>
      <c r="U39" s="106">
        <f t="shared" ref="U39" si="14">H39*C39</f>
        <v>26386.916400000002</v>
      </c>
      <c r="V39" s="106">
        <f t="shared" si="8"/>
        <v>131934.58199999999</v>
      </c>
      <c r="W39" s="154"/>
      <c r="X39" s="154"/>
      <c r="Y39" s="154"/>
    </row>
    <row r="40" spans="1:25" s="74" customFormat="1" ht="33.75" x14ac:dyDescent="0.2">
      <c r="A40" s="103">
        <v>24</v>
      </c>
      <c r="B40" s="104" t="s">
        <v>111</v>
      </c>
      <c r="C40" s="105">
        <v>7</v>
      </c>
      <c r="D40" s="105">
        <v>1.2</v>
      </c>
      <c r="E40" s="105"/>
      <c r="F40" s="105"/>
      <c r="G40" s="106">
        <f t="shared" si="9"/>
        <v>8119.0511999999999</v>
      </c>
      <c r="H40" s="106">
        <f t="shared" si="7"/>
        <v>8119.0511999999999</v>
      </c>
      <c r="I40" s="106">
        <f>H40*28/100</f>
        <v>2273.3343359999999</v>
      </c>
      <c r="J40" s="261"/>
      <c r="K40" s="106">
        <v>0</v>
      </c>
      <c r="L40" s="108"/>
      <c r="M40" s="103"/>
      <c r="N40" s="103"/>
      <c r="O40" s="103"/>
      <c r="P40" s="103"/>
      <c r="Q40" s="103"/>
      <c r="R40" s="103"/>
      <c r="S40" s="103"/>
      <c r="T40" s="106">
        <f>H40*[1]чернетка!I33/100</f>
        <v>405.95256000000001</v>
      </c>
      <c r="U40" s="106">
        <f>(H40+I40+T40)*C40</f>
        <v>75588.366672000004</v>
      </c>
      <c r="V40" s="106">
        <f t="shared" si="8"/>
        <v>377941.83336000005</v>
      </c>
      <c r="W40" s="154"/>
      <c r="X40" s="154"/>
      <c r="Y40" s="154"/>
    </row>
    <row r="41" spans="1:25" s="74" customFormat="1" ht="55.5" customHeight="1" x14ac:dyDescent="0.2">
      <c r="A41" s="103">
        <v>25</v>
      </c>
      <c r="B41" s="104" t="s">
        <v>12</v>
      </c>
      <c r="C41" s="105">
        <v>2</v>
      </c>
      <c r="D41" s="105">
        <v>1.2</v>
      </c>
      <c r="E41" s="105"/>
      <c r="F41" s="105"/>
      <c r="G41" s="106">
        <f t="shared" si="9"/>
        <v>8119.0511999999999</v>
      </c>
      <c r="H41" s="106">
        <f t="shared" si="7"/>
        <v>8119.0511999999999</v>
      </c>
      <c r="I41" s="106">
        <f>H41*8/100</f>
        <v>649.52409599999999</v>
      </c>
      <c r="J41" s="261"/>
      <c r="K41" s="106">
        <v>0</v>
      </c>
      <c r="L41" s="108"/>
      <c r="M41" s="103"/>
      <c r="N41" s="103"/>
      <c r="O41" s="103"/>
      <c r="P41" s="103"/>
      <c r="Q41" s="103"/>
      <c r="R41" s="103"/>
      <c r="S41" s="103"/>
      <c r="T41" s="106">
        <f>H41*[1]чернетка!I34/100</f>
        <v>405.95256000000001</v>
      </c>
      <c r="U41" s="106">
        <f t="shared" ref="U41:U42" si="15">(H41+I41+T41)*C41</f>
        <v>18349.055711999998</v>
      </c>
      <c r="V41" s="106">
        <f t="shared" si="8"/>
        <v>91745.278559999992</v>
      </c>
      <c r="W41" s="154"/>
      <c r="X41" s="154"/>
      <c r="Y41" s="154"/>
    </row>
    <row r="42" spans="1:25" s="74" customFormat="1" ht="11.25" x14ac:dyDescent="0.2">
      <c r="A42" s="103">
        <v>26</v>
      </c>
      <c r="B42" s="104" t="s">
        <v>13</v>
      </c>
      <c r="C42" s="105">
        <v>1</v>
      </c>
      <c r="D42" s="105">
        <v>1.3</v>
      </c>
      <c r="E42" s="105"/>
      <c r="F42" s="105"/>
      <c r="G42" s="106">
        <f t="shared" si="9"/>
        <v>8795.6388000000006</v>
      </c>
      <c r="H42" s="106">
        <f t="shared" si="7"/>
        <v>8795.6388000000006</v>
      </c>
      <c r="I42" s="106"/>
      <c r="J42" s="261"/>
      <c r="K42" s="106">
        <v>0</v>
      </c>
      <c r="L42" s="108"/>
      <c r="M42" s="103"/>
      <c r="N42" s="103"/>
      <c r="O42" s="103"/>
      <c r="P42" s="103"/>
      <c r="Q42" s="103"/>
      <c r="R42" s="103"/>
      <c r="S42" s="103"/>
      <c r="T42" s="106">
        <f>H42*[1]чернетка!I35/100</f>
        <v>439.78194000000002</v>
      </c>
      <c r="U42" s="106">
        <f t="shared" si="15"/>
        <v>9235.4207400000014</v>
      </c>
      <c r="V42" s="106">
        <f t="shared" si="8"/>
        <v>46177.103700000007</v>
      </c>
      <c r="W42" s="154"/>
      <c r="X42" s="154"/>
      <c r="Y42" s="154"/>
    </row>
    <row r="43" spans="1:25" s="148" customFormat="1" ht="11.25" x14ac:dyDescent="0.2">
      <c r="A43" s="103">
        <v>27</v>
      </c>
      <c r="B43" s="99" t="s">
        <v>112</v>
      </c>
      <c r="C43" s="100">
        <v>13</v>
      </c>
      <c r="D43" s="101"/>
      <c r="E43" s="101"/>
      <c r="F43" s="101"/>
      <c r="G43" s="98">
        <f t="shared" si="9"/>
        <v>33829.380000000005</v>
      </c>
      <c r="H43" s="98">
        <f>SUM(H39:H42)</f>
        <v>33829.380000000005</v>
      </c>
      <c r="I43" s="98">
        <f t="shared" ref="I43:T43" si="16">SUM(I39:I42)</f>
        <v>2922.858432</v>
      </c>
      <c r="J43" s="98">
        <f t="shared" si="16"/>
        <v>0</v>
      </c>
      <c r="K43" s="98">
        <f t="shared" si="16"/>
        <v>0</v>
      </c>
      <c r="L43" s="98">
        <f t="shared" si="16"/>
        <v>0</v>
      </c>
      <c r="M43" s="98">
        <f t="shared" si="16"/>
        <v>0</v>
      </c>
      <c r="N43" s="98">
        <f t="shared" si="16"/>
        <v>0</v>
      </c>
      <c r="O43" s="98">
        <f t="shared" si="16"/>
        <v>0</v>
      </c>
      <c r="P43" s="98">
        <f t="shared" si="16"/>
        <v>0</v>
      </c>
      <c r="Q43" s="98">
        <f t="shared" si="16"/>
        <v>0</v>
      </c>
      <c r="R43" s="98">
        <f t="shared" si="16"/>
        <v>0</v>
      </c>
      <c r="S43" s="98">
        <f t="shared" si="16"/>
        <v>0</v>
      </c>
      <c r="T43" s="98">
        <f t="shared" si="16"/>
        <v>1691.4690000000001</v>
      </c>
      <c r="U43" s="98">
        <f>SUM(U39:U42)</f>
        <v>129559.75952400001</v>
      </c>
      <c r="V43" s="98">
        <f>SUM(V39:V42)</f>
        <v>647798.79761999997</v>
      </c>
    </row>
    <row r="44" spans="1:25" s="74" customFormat="1" ht="21.75" x14ac:dyDescent="0.2">
      <c r="A44" s="103">
        <v>28</v>
      </c>
      <c r="B44" s="99" t="s">
        <v>15</v>
      </c>
      <c r="C44" s="105"/>
      <c r="D44" s="105"/>
      <c r="E44" s="105"/>
      <c r="F44" s="105"/>
      <c r="G44" s="106"/>
      <c r="H44" s="106"/>
      <c r="I44" s="106"/>
      <c r="J44" s="103"/>
      <c r="K44" s="108"/>
      <c r="L44" s="108"/>
      <c r="M44" s="103"/>
      <c r="N44" s="103"/>
      <c r="O44" s="103"/>
      <c r="P44" s="103"/>
      <c r="Q44" s="103"/>
      <c r="R44" s="103"/>
      <c r="S44" s="103"/>
      <c r="T44" s="106"/>
      <c r="U44" s="108"/>
      <c r="V44" s="106"/>
      <c r="W44" s="154"/>
      <c r="X44" s="154"/>
      <c r="Y44" s="154"/>
    </row>
    <row r="45" spans="1:25" s="74" customFormat="1" ht="11.25" x14ac:dyDescent="0.2">
      <c r="A45" s="103">
        <v>29</v>
      </c>
      <c r="B45" s="104" t="s">
        <v>113</v>
      </c>
      <c r="C45" s="105">
        <v>1</v>
      </c>
      <c r="D45" s="105">
        <v>1.8</v>
      </c>
      <c r="E45" s="105"/>
      <c r="F45" s="105"/>
      <c r="G45" s="106">
        <f>H45</f>
        <v>12178.576800000001</v>
      </c>
      <c r="H45" s="106">
        <f t="shared" ref="H45" si="17">2379*1.8*1.58*D45</f>
        <v>12178.576800000001</v>
      </c>
      <c r="I45" s="106"/>
      <c r="J45" s="261"/>
      <c r="K45" s="106">
        <v>0</v>
      </c>
      <c r="L45" s="108"/>
      <c r="M45" s="103"/>
      <c r="N45" s="103"/>
      <c r="O45" s="103"/>
      <c r="P45" s="103"/>
      <c r="Q45" s="103"/>
      <c r="R45" s="103"/>
      <c r="S45" s="103"/>
      <c r="T45" s="106">
        <f>H45*[1]чернетка!I36/100</f>
        <v>608.92884000000004</v>
      </c>
      <c r="U45" s="106">
        <f t="shared" ref="U45:U47" si="18">(H45+I45+T45)*C45</f>
        <v>12787.505640000001</v>
      </c>
      <c r="V45" s="106">
        <f t="shared" ref="V45:V47" si="19">U45*5</f>
        <v>63937.528200000008</v>
      </c>
      <c r="W45" s="154"/>
      <c r="X45" s="154"/>
      <c r="Y45" s="154"/>
    </row>
    <row r="46" spans="1:25" s="142" customFormat="1" ht="11.25" x14ac:dyDescent="0.2">
      <c r="A46" s="103">
        <v>30</v>
      </c>
      <c r="B46" s="104" t="s">
        <v>114</v>
      </c>
      <c r="C46" s="105">
        <v>1</v>
      </c>
      <c r="D46" s="105"/>
      <c r="E46" s="105"/>
      <c r="F46" s="105"/>
      <c r="G46" s="106">
        <f t="shared" ref="G46:G51" si="20">H46</f>
        <v>12178.576800000001</v>
      </c>
      <c r="H46" s="106">
        <f>SUM(H45)</f>
        <v>12178.576800000001</v>
      </c>
      <c r="I46" s="106">
        <v>0</v>
      </c>
      <c r="J46" s="107"/>
      <c r="K46" s="106">
        <v>0</v>
      </c>
      <c r="L46" s="106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6"/>
      <c r="U46" s="106">
        <f>SUM(U45)</f>
        <v>12787.505640000001</v>
      </c>
      <c r="V46" s="106">
        <f>SUM(V45)</f>
        <v>63937.528200000008</v>
      </c>
      <c r="W46" s="150"/>
      <c r="X46" s="150"/>
      <c r="Y46" s="150"/>
    </row>
    <row r="47" spans="1:25" s="74" customFormat="1" ht="11.25" x14ac:dyDescent="0.2">
      <c r="A47" s="103">
        <v>31</v>
      </c>
      <c r="B47" s="104" t="s">
        <v>251</v>
      </c>
      <c r="C47" s="105">
        <v>2</v>
      </c>
      <c r="D47" s="105" t="s">
        <v>115</v>
      </c>
      <c r="E47" s="105">
        <v>1.35</v>
      </c>
      <c r="F47" s="122">
        <f>H47/166.17</f>
        <v>54.967398447373178</v>
      </c>
      <c r="G47" s="106">
        <f t="shared" si="20"/>
        <v>9133.9326000000001</v>
      </c>
      <c r="H47" s="106">
        <f>2379*1.8*1.58*E47</f>
        <v>9133.9326000000001</v>
      </c>
      <c r="I47" s="106">
        <f>H47*4/100</f>
        <v>365.357304</v>
      </c>
      <c r="J47" s="261"/>
      <c r="K47" s="106">
        <v>0</v>
      </c>
      <c r="L47" s="108"/>
      <c r="M47" s="103"/>
      <c r="N47" s="103"/>
      <c r="O47" s="103"/>
      <c r="P47" s="103"/>
      <c r="Q47" s="103"/>
      <c r="R47" s="103"/>
      <c r="S47" s="103"/>
      <c r="T47" s="106">
        <f>H47*[1]чернетка!I37/100</f>
        <v>456.69663000000003</v>
      </c>
      <c r="U47" s="106">
        <f t="shared" si="18"/>
        <v>19911.973067999999</v>
      </c>
      <c r="V47" s="106">
        <f t="shared" si="19"/>
        <v>99559.865339999989</v>
      </c>
      <c r="W47" s="154"/>
      <c r="X47" s="154"/>
      <c r="Y47" s="154"/>
    </row>
    <row r="48" spans="1:25" s="142" customFormat="1" ht="11.25" x14ac:dyDescent="0.2">
      <c r="A48" s="103">
        <v>32</v>
      </c>
      <c r="B48" s="104" t="s">
        <v>112</v>
      </c>
      <c r="C48" s="105">
        <v>2</v>
      </c>
      <c r="D48" s="105"/>
      <c r="E48" s="105"/>
      <c r="F48" s="105"/>
      <c r="G48" s="106">
        <f t="shared" si="20"/>
        <v>9133.9326000000001</v>
      </c>
      <c r="H48" s="106">
        <f>SUM(H47)</f>
        <v>9133.9326000000001</v>
      </c>
      <c r="I48" s="106">
        <v>0</v>
      </c>
      <c r="J48" s="107"/>
      <c r="K48" s="106">
        <v>0</v>
      </c>
      <c r="L48" s="106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6"/>
      <c r="U48" s="106">
        <f>SUM(U47)</f>
        <v>19911.973067999999</v>
      </c>
      <c r="V48" s="106">
        <f>SUM(V47)</f>
        <v>99559.865339999989</v>
      </c>
      <c r="W48" s="150"/>
      <c r="X48" s="150"/>
      <c r="Y48" s="150"/>
    </row>
    <row r="49" spans="1:25" s="141" customFormat="1" ht="22.5" x14ac:dyDescent="0.2">
      <c r="A49" s="103">
        <v>33</v>
      </c>
      <c r="B49" s="113" t="s">
        <v>116</v>
      </c>
      <c r="C49" s="117">
        <f>C38</f>
        <v>5</v>
      </c>
      <c r="D49" s="117"/>
      <c r="E49" s="117"/>
      <c r="F49" s="117"/>
      <c r="G49" s="106">
        <f t="shared" si="20"/>
        <v>49729.188600000001</v>
      </c>
      <c r="H49" s="119">
        <f>H38</f>
        <v>49729.188600000001</v>
      </c>
      <c r="I49" s="119">
        <v>0</v>
      </c>
      <c r="J49" s="125"/>
      <c r="K49" s="119">
        <v>0</v>
      </c>
      <c r="L49" s="119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19">
        <v>0</v>
      </c>
      <c r="U49" s="119">
        <f>U38</f>
        <v>65020.068360000005</v>
      </c>
      <c r="V49" s="119">
        <f>V38</f>
        <v>325100.34180000005</v>
      </c>
      <c r="W49" s="152"/>
      <c r="X49" s="152"/>
      <c r="Y49" s="152"/>
    </row>
    <row r="50" spans="1:25" s="141" customFormat="1" ht="22.5" x14ac:dyDescent="0.2">
      <c r="A50" s="103">
        <v>34</v>
      </c>
      <c r="B50" s="113" t="s">
        <v>117</v>
      </c>
      <c r="C50" s="117">
        <f>C43+C45+C47</f>
        <v>16</v>
      </c>
      <c r="D50" s="117"/>
      <c r="E50" s="117"/>
      <c r="F50" s="117"/>
      <c r="G50" s="106">
        <f t="shared" si="20"/>
        <v>55141.889400000007</v>
      </c>
      <c r="H50" s="119">
        <f>H43+H46+H48</f>
        <v>55141.889400000007</v>
      </c>
      <c r="I50" s="119">
        <f>I43</f>
        <v>2922.858432</v>
      </c>
      <c r="J50" s="125"/>
      <c r="K50" s="119">
        <v>0</v>
      </c>
      <c r="L50" s="119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19">
        <v>0</v>
      </c>
      <c r="U50" s="119">
        <f>U43+U46+U48</f>
        <v>162259.238232</v>
      </c>
      <c r="V50" s="119">
        <f>V43+V46+V48</f>
        <v>811296.19116000005</v>
      </c>
      <c r="W50" s="152"/>
      <c r="X50" s="152"/>
      <c r="Y50" s="152"/>
    </row>
    <row r="51" spans="1:25" s="149" customFormat="1" ht="11.25" x14ac:dyDescent="0.2">
      <c r="A51" s="103">
        <v>35</v>
      </c>
      <c r="B51" s="113" t="s">
        <v>16</v>
      </c>
      <c r="C51" s="117">
        <f>C49+C50</f>
        <v>21</v>
      </c>
      <c r="D51" s="117"/>
      <c r="E51" s="117"/>
      <c r="F51" s="117"/>
      <c r="G51" s="119">
        <f t="shared" si="20"/>
        <v>104871.07800000001</v>
      </c>
      <c r="H51" s="119">
        <f>H49+H50</f>
        <v>104871.07800000001</v>
      </c>
      <c r="I51" s="119">
        <f>I50</f>
        <v>2922.858432</v>
      </c>
      <c r="J51" s="125"/>
      <c r="K51" s="119">
        <v>0</v>
      </c>
      <c r="L51" s="119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19">
        <v>0</v>
      </c>
      <c r="U51" s="119">
        <f>U49+U50</f>
        <v>227279.30659200001</v>
      </c>
      <c r="V51" s="119">
        <f>V49+V50</f>
        <v>1136396.53296</v>
      </c>
      <c r="W51" s="152"/>
      <c r="X51" s="152"/>
      <c r="Y51" s="152"/>
    </row>
    <row r="52" spans="1:25" s="141" customFormat="1" ht="19.5" customHeight="1" x14ac:dyDescent="0.2">
      <c r="A52" s="103">
        <v>36</v>
      </c>
      <c r="B52" s="685" t="s">
        <v>34</v>
      </c>
      <c r="C52" s="685"/>
      <c r="D52" s="685"/>
      <c r="E52" s="685"/>
      <c r="F52" s="685"/>
      <c r="G52" s="685"/>
      <c r="H52" s="685"/>
      <c r="I52" s="119"/>
      <c r="J52" s="112"/>
      <c r="K52" s="140"/>
      <c r="L52" s="140"/>
      <c r="M52" s="112"/>
      <c r="N52" s="112"/>
      <c r="O52" s="112"/>
      <c r="P52" s="112"/>
      <c r="Q52" s="112"/>
      <c r="R52" s="112"/>
      <c r="S52" s="112"/>
      <c r="T52" s="119"/>
      <c r="U52" s="140"/>
      <c r="V52" s="119"/>
      <c r="W52" s="152"/>
      <c r="X52" s="152"/>
      <c r="Y52" s="152"/>
    </row>
    <row r="53" spans="1:25" s="74" customFormat="1" ht="11.25" x14ac:dyDescent="0.2">
      <c r="A53" s="103">
        <v>37</v>
      </c>
      <c r="B53" s="104" t="s">
        <v>35</v>
      </c>
      <c r="C53" s="105">
        <v>1</v>
      </c>
      <c r="D53" s="105">
        <v>2.6</v>
      </c>
      <c r="E53" s="105"/>
      <c r="F53" s="105"/>
      <c r="G53" s="106">
        <f>H53</f>
        <v>17591.277600000001</v>
      </c>
      <c r="H53" s="106">
        <f t="shared" ref="H53:H58" si="21">2379*1.8*1.58*D53</f>
        <v>17591.277600000001</v>
      </c>
      <c r="I53" s="106"/>
      <c r="J53" s="261"/>
      <c r="K53" s="106">
        <v>0</v>
      </c>
      <c r="L53" s="108"/>
      <c r="M53" s="103"/>
      <c r="N53" s="103"/>
      <c r="O53" s="103"/>
      <c r="P53" s="103"/>
      <c r="Q53" s="103"/>
      <c r="R53" s="103"/>
      <c r="S53" s="103"/>
      <c r="T53" s="106">
        <f>H53*[1]чернетка!I60/100</f>
        <v>1759.1277600000001</v>
      </c>
      <c r="U53" s="106">
        <f t="shared" ref="U53:U58" si="22">(H53+I53+T53)*C53</f>
        <v>19350.405360000001</v>
      </c>
      <c r="V53" s="106">
        <f t="shared" ref="V53:V58" si="23">U53*5</f>
        <v>96752.026800000007</v>
      </c>
      <c r="W53" s="154"/>
      <c r="X53" s="154"/>
      <c r="Y53" s="154"/>
    </row>
    <row r="54" spans="1:25" s="74" customFormat="1" ht="11.25" x14ac:dyDescent="0.2">
      <c r="A54" s="103">
        <v>38</v>
      </c>
      <c r="B54" s="258" t="s">
        <v>252</v>
      </c>
      <c r="C54" s="105">
        <v>1</v>
      </c>
      <c r="D54" s="105">
        <v>2.6</v>
      </c>
      <c r="E54" s="105"/>
      <c r="F54" s="105"/>
      <c r="G54" s="106">
        <f t="shared" ref="G54:G59" si="24">H54</f>
        <v>17591.277600000001</v>
      </c>
      <c r="H54" s="106">
        <f t="shared" si="21"/>
        <v>17591.277600000001</v>
      </c>
      <c r="I54" s="106"/>
      <c r="J54" s="261"/>
      <c r="K54" s="106"/>
      <c r="L54" s="108"/>
      <c r="M54" s="103"/>
      <c r="N54" s="103"/>
      <c r="O54" s="103"/>
      <c r="P54" s="103"/>
      <c r="Q54" s="103"/>
      <c r="R54" s="103"/>
      <c r="S54" s="103"/>
      <c r="T54" s="106">
        <f>H54*[1]чернетка!I61/100</f>
        <v>1759.1277600000001</v>
      </c>
      <c r="U54" s="106">
        <f t="shared" si="22"/>
        <v>19350.405360000001</v>
      </c>
      <c r="V54" s="106">
        <f t="shared" si="23"/>
        <v>96752.026800000007</v>
      </c>
      <c r="W54" s="154"/>
      <c r="X54" s="154"/>
      <c r="Y54" s="154"/>
    </row>
    <row r="55" spans="1:25" s="74" customFormat="1" ht="11.25" x14ac:dyDescent="0.2">
      <c r="A55" s="103">
        <v>39</v>
      </c>
      <c r="B55" s="104" t="s">
        <v>36</v>
      </c>
      <c r="C55" s="105">
        <v>1</v>
      </c>
      <c r="D55" s="105">
        <v>1.9</v>
      </c>
      <c r="E55" s="105"/>
      <c r="F55" s="105"/>
      <c r="G55" s="106">
        <f t="shared" si="24"/>
        <v>12855.1644</v>
      </c>
      <c r="H55" s="106">
        <f t="shared" si="21"/>
        <v>12855.1644</v>
      </c>
      <c r="I55" s="106"/>
      <c r="J55" s="261"/>
      <c r="K55" s="106">
        <v>0</v>
      </c>
      <c r="L55" s="108"/>
      <c r="M55" s="103"/>
      <c r="N55" s="103"/>
      <c r="O55" s="103"/>
      <c r="P55" s="103"/>
      <c r="Q55" s="103"/>
      <c r="R55" s="103"/>
      <c r="S55" s="103"/>
      <c r="T55" s="106">
        <f>H55*[1]чернетка!I62/100</f>
        <v>642.75822000000005</v>
      </c>
      <c r="U55" s="106">
        <f t="shared" si="22"/>
        <v>13497.922619999999</v>
      </c>
      <c r="V55" s="106">
        <f t="shared" si="23"/>
        <v>67489.613100000002</v>
      </c>
      <c r="W55" s="154"/>
      <c r="X55" s="154"/>
      <c r="Y55" s="154"/>
    </row>
    <row r="56" spans="1:25" s="74" customFormat="1" ht="39.75" customHeight="1" x14ac:dyDescent="0.2">
      <c r="A56" s="103">
        <v>40</v>
      </c>
      <c r="B56" s="104" t="s">
        <v>37</v>
      </c>
      <c r="C56" s="105">
        <v>1</v>
      </c>
      <c r="D56" s="111">
        <v>1.8</v>
      </c>
      <c r="E56" s="105"/>
      <c r="F56" s="105"/>
      <c r="G56" s="106">
        <f t="shared" si="24"/>
        <v>12178.576800000001</v>
      </c>
      <c r="H56" s="106">
        <f t="shared" si="21"/>
        <v>12178.576800000001</v>
      </c>
      <c r="I56" s="106"/>
      <c r="J56" s="261"/>
      <c r="K56" s="106">
        <v>0</v>
      </c>
      <c r="L56" s="108"/>
      <c r="M56" s="103"/>
      <c r="N56" s="103"/>
      <c r="O56" s="103"/>
      <c r="P56" s="103"/>
      <c r="Q56" s="103"/>
      <c r="R56" s="103"/>
      <c r="S56" s="103"/>
      <c r="T56" s="106">
        <f>H56*[1]чернетка!I63/100</f>
        <v>608.92884000000004</v>
      </c>
      <c r="U56" s="106">
        <f t="shared" si="22"/>
        <v>12787.505640000001</v>
      </c>
      <c r="V56" s="106">
        <f t="shared" si="23"/>
        <v>63937.528200000008</v>
      </c>
      <c r="W56" s="154"/>
      <c r="X56" s="154"/>
      <c r="Y56" s="154"/>
    </row>
    <row r="57" spans="1:25" s="74" customFormat="1" ht="15" customHeight="1" x14ac:dyDescent="0.2">
      <c r="A57" s="103">
        <v>41</v>
      </c>
      <c r="B57" s="104" t="s">
        <v>38</v>
      </c>
      <c r="C57" s="105">
        <v>1</v>
      </c>
      <c r="D57" s="111">
        <v>1.8</v>
      </c>
      <c r="E57" s="105"/>
      <c r="F57" s="105"/>
      <c r="G57" s="106">
        <f t="shared" si="24"/>
        <v>12178.576800000001</v>
      </c>
      <c r="H57" s="106">
        <f t="shared" si="21"/>
        <v>12178.576800000001</v>
      </c>
      <c r="I57" s="106"/>
      <c r="J57" s="261"/>
      <c r="K57" s="106">
        <v>0</v>
      </c>
      <c r="L57" s="108"/>
      <c r="M57" s="103"/>
      <c r="N57" s="103"/>
      <c r="O57" s="103"/>
      <c r="P57" s="103"/>
      <c r="Q57" s="103"/>
      <c r="R57" s="103"/>
      <c r="S57" s="103"/>
      <c r="T57" s="106">
        <f>H57*[1]чернетка!I64/100</f>
        <v>608.92884000000004</v>
      </c>
      <c r="U57" s="106">
        <f t="shared" si="22"/>
        <v>12787.505640000001</v>
      </c>
      <c r="V57" s="106">
        <f t="shared" si="23"/>
        <v>63937.528200000008</v>
      </c>
      <c r="W57" s="154"/>
      <c r="X57" s="154"/>
      <c r="Y57" s="154"/>
    </row>
    <row r="58" spans="1:25" s="74" customFormat="1" ht="11.25" x14ac:dyDescent="0.2">
      <c r="A58" s="103">
        <v>42</v>
      </c>
      <c r="B58" s="258" t="s">
        <v>253</v>
      </c>
      <c r="C58" s="105">
        <v>0.5</v>
      </c>
      <c r="D58" s="111">
        <v>1.5</v>
      </c>
      <c r="E58" s="105"/>
      <c r="F58" s="105"/>
      <c r="G58" s="106">
        <f t="shared" si="24"/>
        <v>10148.814</v>
      </c>
      <c r="H58" s="106">
        <f t="shared" si="21"/>
        <v>10148.814</v>
      </c>
      <c r="I58" s="106"/>
      <c r="J58" s="261"/>
      <c r="K58" s="106">
        <v>0</v>
      </c>
      <c r="L58" s="108"/>
      <c r="M58" s="103"/>
      <c r="N58" s="103"/>
      <c r="O58" s="103"/>
      <c r="P58" s="103"/>
      <c r="Q58" s="103"/>
      <c r="R58" s="103"/>
      <c r="S58" s="103"/>
      <c r="T58" s="106">
        <f>H58*[1]чернетка!I65/100</f>
        <v>507.44069999999999</v>
      </c>
      <c r="U58" s="106">
        <f t="shared" si="22"/>
        <v>5328.1273499999998</v>
      </c>
      <c r="V58" s="106">
        <f t="shared" si="23"/>
        <v>26640.636749999998</v>
      </c>
      <c r="W58" s="154"/>
      <c r="X58" s="154"/>
      <c r="Y58" s="154"/>
    </row>
    <row r="59" spans="1:25" s="150" customFormat="1" ht="11.25" x14ac:dyDescent="0.2">
      <c r="A59" s="103">
        <v>43</v>
      </c>
      <c r="B59" s="104" t="s">
        <v>109</v>
      </c>
      <c r="C59" s="105">
        <f>SUM(C53:C58)</f>
        <v>5.5</v>
      </c>
      <c r="D59" s="105"/>
      <c r="E59" s="105"/>
      <c r="F59" s="105"/>
      <c r="G59" s="106">
        <f t="shared" si="24"/>
        <v>82543.6872</v>
      </c>
      <c r="H59" s="106">
        <f>SUM(H53:H58)</f>
        <v>82543.6872</v>
      </c>
      <c r="I59" s="106">
        <v>0</v>
      </c>
      <c r="J59" s="107"/>
      <c r="K59" s="106">
        <v>0</v>
      </c>
      <c r="L59" s="106">
        <v>0</v>
      </c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6">
        <v>0</v>
      </c>
      <c r="U59" s="106">
        <f>SUM(U53:U58)</f>
        <v>83101.871969999993</v>
      </c>
      <c r="V59" s="106">
        <f>SUM(V53:V58)</f>
        <v>415509.35985000001</v>
      </c>
    </row>
    <row r="60" spans="1:25" s="142" customFormat="1" ht="32.25" x14ac:dyDescent="0.2">
      <c r="A60" s="103">
        <v>44</v>
      </c>
      <c r="B60" s="99" t="s">
        <v>45</v>
      </c>
      <c r="C60" s="105"/>
      <c r="D60" s="105"/>
      <c r="E60" s="105"/>
      <c r="F60" s="105"/>
      <c r="G60" s="106"/>
      <c r="H60" s="106"/>
      <c r="I60" s="106"/>
      <c r="J60" s="103"/>
      <c r="K60" s="108"/>
      <c r="L60" s="108"/>
      <c r="M60" s="103"/>
      <c r="N60" s="103"/>
      <c r="O60" s="103"/>
      <c r="P60" s="103"/>
      <c r="Q60" s="103"/>
      <c r="R60" s="103"/>
      <c r="S60" s="103"/>
      <c r="T60" s="106"/>
      <c r="U60" s="108"/>
      <c r="V60" s="106"/>
      <c r="W60" s="150"/>
      <c r="X60" s="150"/>
      <c r="Y60" s="150"/>
    </row>
    <row r="61" spans="1:25" s="74" customFormat="1" ht="11.25" x14ac:dyDescent="0.2">
      <c r="A61" s="103">
        <v>45</v>
      </c>
      <c r="B61" s="104" t="s">
        <v>118</v>
      </c>
      <c r="C61" s="105">
        <v>1</v>
      </c>
      <c r="D61" s="105">
        <v>2.15</v>
      </c>
      <c r="E61" s="105"/>
      <c r="F61" s="105"/>
      <c r="G61" s="106">
        <f>H61</f>
        <v>14546.633400000001</v>
      </c>
      <c r="H61" s="106">
        <f t="shared" ref="H61:H62" si="25">2379*1.8*1.58*D61</f>
        <v>14546.633400000001</v>
      </c>
      <c r="I61" s="106"/>
      <c r="J61" s="261"/>
      <c r="K61" s="106">
        <v>0</v>
      </c>
      <c r="L61" s="108"/>
      <c r="M61" s="103"/>
      <c r="N61" s="103"/>
      <c r="O61" s="103"/>
      <c r="P61" s="103"/>
      <c r="Q61" s="103"/>
      <c r="R61" s="103"/>
      <c r="S61" s="103"/>
      <c r="T61" s="106">
        <f>H61*[1]чернетка!I74/100</f>
        <v>1454.6633400000001</v>
      </c>
      <c r="U61" s="106">
        <f t="shared" ref="U61:U64" si="26">(H61+I61+T61)*C61</f>
        <v>16001.296740000002</v>
      </c>
      <c r="V61" s="106">
        <f t="shared" ref="V61:V64" si="27">U61*5</f>
        <v>80006.483700000012</v>
      </c>
      <c r="W61" s="154"/>
      <c r="X61" s="154"/>
      <c r="Y61" s="154"/>
    </row>
    <row r="62" spans="1:25" s="74" customFormat="1" ht="11.25" x14ac:dyDescent="0.2">
      <c r="A62" s="103">
        <v>46</v>
      </c>
      <c r="B62" s="104" t="s">
        <v>46</v>
      </c>
      <c r="C62" s="105">
        <v>1</v>
      </c>
      <c r="D62" s="111">
        <v>1.7</v>
      </c>
      <c r="E62" s="105"/>
      <c r="F62" s="105"/>
      <c r="G62" s="106">
        <f t="shared" ref="G62:G66" si="28">H62</f>
        <v>11501.9892</v>
      </c>
      <c r="H62" s="106">
        <f t="shared" si="25"/>
        <v>11501.9892</v>
      </c>
      <c r="I62" s="106"/>
      <c r="J62" s="261"/>
      <c r="K62" s="106">
        <v>0</v>
      </c>
      <c r="L62" s="108"/>
      <c r="M62" s="103"/>
      <c r="N62" s="103"/>
      <c r="O62" s="103"/>
      <c r="P62" s="103"/>
      <c r="Q62" s="103"/>
      <c r="R62" s="103"/>
      <c r="S62" s="103"/>
      <c r="T62" s="106">
        <f>H62*[1]чернетка!I75/100</f>
        <v>575.09945999999991</v>
      </c>
      <c r="U62" s="106">
        <f t="shared" si="26"/>
        <v>12077.088659999999</v>
      </c>
      <c r="V62" s="106">
        <f t="shared" si="27"/>
        <v>60385.443299999999</v>
      </c>
      <c r="W62" s="154"/>
      <c r="X62" s="154"/>
      <c r="Y62" s="154"/>
    </row>
    <row r="63" spans="1:25" s="150" customFormat="1" ht="11.25" x14ac:dyDescent="0.2">
      <c r="A63" s="103">
        <v>47</v>
      </c>
      <c r="B63" s="104" t="s">
        <v>109</v>
      </c>
      <c r="C63" s="105">
        <v>2</v>
      </c>
      <c r="D63" s="105"/>
      <c r="E63" s="105"/>
      <c r="F63" s="105"/>
      <c r="G63" s="106">
        <f t="shared" si="28"/>
        <v>26048.622600000002</v>
      </c>
      <c r="H63" s="106">
        <f>SUM(H61:H62)</f>
        <v>26048.622600000002</v>
      </c>
      <c r="I63" s="106">
        <v>0</v>
      </c>
      <c r="J63" s="107"/>
      <c r="K63" s="106">
        <v>0</v>
      </c>
      <c r="L63" s="106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6">
        <v>0</v>
      </c>
      <c r="U63" s="106">
        <f>SUM(U61:U62)</f>
        <v>28078.385399999999</v>
      </c>
      <c r="V63" s="106">
        <f>SUM(V61:V62)</f>
        <v>140391.92700000003</v>
      </c>
    </row>
    <row r="64" spans="1:25" s="74" customFormat="1" ht="22.5" x14ac:dyDescent="0.2">
      <c r="A64" s="103">
        <v>48</v>
      </c>
      <c r="B64" s="104" t="s">
        <v>119</v>
      </c>
      <c r="C64" s="105">
        <v>5</v>
      </c>
      <c r="D64" s="105" t="s">
        <v>70</v>
      </c>
      <c r="E64" s="105">
        <v>1.2</v>
      </c>
      <c r="F64" s="122">
        <f>H64/166.17</f>
        <v>48.859909730998375</v>
      </c>
      <c r="G64" s="106">
        <f t="shared" si="28"/>
        <v>8119.0511999999999</v>
      </c>
      <c r="H64" s="106">
        <f>2379*1.8*1.58*E64</f>
        <v>8119.0511999999999</v>
      </c>
      <c r="I64" s="106">
        <f>H64*20/100</f>
        <v>1623.81024</v>
      </c>
      <c r="J64" s="261"/>
      <c r="K64" s="106">
        <v>0</v>
      </c>
      <c r="L64" s="108"/>
      <c r="M64" s="103"/>
      <c r="N64" s="103"/>
      <c r="O64" s="103"/>
      <c r="P64" s="103">
        <v>3697.94</v>
      </c>
      <c r="Q64" s="107">
        <v>955.24</v>
      </c>
      <c r="R64" s="103"/>
      <c r="S64" s="103"/>
      <c r="T64" s="106">
        <f>H64*[1]чернетка!I76/100</f>
        <v>405.95256000000001</v>
      </c>
      <c r="U64" s="106">
        <f t="shared" si="26"/>
        <v>50744.07</v>
      </c>
      <c r="V64" s="106">
        <f t="shared" si="27"/>
        <v>253720.35</v>
      </c>
      <c r="W64" s="154"/>
      <c r="X64" s="154"/>
      <c r="Y64" s="154"/>
    </row>
    <row r="65" spans="1:25" s="150" customFormat="1" ht="11.25" x14ac:dyDescent="0.2">
      <c r="A65" s="103">
        <v>49</v>
      </c>
      <c r="B65" s="104" t="s">
        <v>112</v>
      </c>
      <c r="C65" s="105">
        <v>5</v>
      </c>
      <c r="D65" s="105"/>
      <c r="E65" s="105"/>
      <c r="F65" s="105"/>
      <c r="G65" s="106">
        <f t="shared" si="28"/>
        <v>8119.0511999999999</v>
      </c>
      <c r="H65" s="106">
        <f>SUM(H64)</f>
        <v>8119.0511999999999</v>
      </c>
      <c r="I65" s="106">
        <f t="shared" ref="I65:U65" si="29">SUM(I64)</f>
        <v>1623.81024</v>
      </c>
      <c r="J65" s="106">
        <f t="shared" si="29"/>
        <v>0</v>
      </c>
      <c r="K65" s="106">
        <f t="shared" si="29"/>
        <v>0</v>
      </c>
      <c r="L65" s="106">
        <f t="shared" si="29"/>
        <v>0</v>
      </c>
      <c r="M65" s="106">
        <f t="shared" si="29"/>
        <v>0</v>
      </c>
      <c r="N65" s="106">
        <f t="shared" si="29"/>
        <v>0</v>
      </c>
      <c r="O65" s="106">
        <f t="shared" si="29"/>
        <v>0</v>
      </c>
      <c r="P65" s="106">
        <f t="shared" si="29"/>
        <v>3697.94</v>
      </c>
      <c r="Q65" s="106">
        <f t="shared" si="29"/>
        <v>955.24</v>
      </c>
      <c r="R65" s="106">
        <f t="shared" si="29"/>
        <v>0</v>
      </c>
      <c r="S65" s="106">
        <f t="shared" si="29"/>
        <v>0</v>
      </c>
      <c r="T65" s="106">
        <f t="shared" si="29"/>
        <v>405.95256000000001</v>
      </c>
      <c r="U65" s="106">
        <f t="shared" si="29"/>
        <v>50744.07</v>
      </c>
      <c r="V65" s="106">
        <f>SUM(V64)</f>
        <v>253720.35</v>
      </c>
    </row>
    <row r="66" spans="1:25" s="151" customFormat="1" ht="45" x14ac:dyDescent="0.2">
      <c r="A66" s="103">
        <v>50</v>
      </c>
      <c r="B66" s="109" t="s">
        <v>120</v>
      </c>
      <c r="C66" s="108">
        <v>7</v>
      </c>
      <c r="D66" s="108"/>
      <c r="E66" s="108"/>
      <c r="F66" s="108"/>
      <c r="G66" s="106">
        <f t="shared" si="28"/>
        <v>34167.673800000004</v>
      </c>
      <c r="H66" s="106">
        <f>H65+H63</f>
        <v>34167.673800000004</v>
      </c>
      <c r="I66" s="106">
        <f t="shared" ref="I66:V66" si="30">I65+I63</f>
        <v>1623.81024</v>
      </c>
      <c r="J66" s="106">
        <f t="shared" si="30"/>
        <v>0</v>
      </c>
      <c r="K66" s="106">
        <f t="shared" si="30"/>
        <v>0</v>
      </c>
      <c r="L66" s="106">
        <f t="shared" si="30"/>
        <v>0</v>
      </c>
      <c r="M66" s="106">
        <f t="shared" si="30"/>
        <v>0</v>
      </c>
      <c r="N66" s="106">
        <f t="shared" si="30"/>
        <v>0</v>
      </c>
      <c r="O66" s="106">
        <f t="shared" si="30"/>
        <v>0</v>
      </c>
      <c r="P66" s="106">
        <f t="shared" si="30"/>
        <v>3697.94</v>
      </c>
      <c r="Q66" s="106">
        <f t="shared" si="30"/>
        <v>955.24</v>
      </c>
      <c r="R66" s="106">
        <f t="shared" si="30"/>
        <v>0</v>
      </c>
      <c r="S66" s="106">
        <f t="shared" si="30"/>
        <v>0</v>
      </c>
      <c r="T66" s="106">
        <f t="shared" si="30"/>
        <v>405.95256000000001</v>
      </c>
      <c r="U66" s="106">
        <f t="shared" si="30"/>
        <v>78822.455400000006</v>
      </c>
      <c r="V66" s="106">
        <f t="shared" si="30"/>
        <v>394112.277</v>
      </c>
    </row>
    <row r="67" spans="1:25" s="142" customFormat="1" ht="11.25" x14ac:dyDescent="0.2">
      <c r="A67" s="103">
        <v>51</v>
      </c>
      <c r="B67" s="99" t="s">
        <v>48</v>
      </c>
      <c r="C67" s="105"/>
      <c r="D67" s="105"/>
      <c r="E67" s="105"/>
      <c r="F67" s="105"/>
      <c r="G67" s="106"/>
      <c r="H67" s="106"/>
      <c r="I67" s="106"/>
      <c r="J67" s="103"/>
      <c r="K67" s="108"/>
      <c r="L67" s="108"/>
      <c r="M67" s="103"/>
      <c r="N67" s="103"/>
      <c r="O67" s="103"/>
      <c r="P67" s="103"/>
      <c r="Q67" s="103"/>
      <c r="R67" s="103"/>
      <c r="S67" s="103"/>
      <c r="T67" s="106"/>
      <c r="U67" s="108"/>
      <c r="V67" s="106"/>
      <c r="W67" s="150"/>
      <c r="X67" s="150"/>
      <c r="Y67" s="150"/>
    </row>
    <row r="68" spans="1:25" s="74" customFormat="1" ht="11.25" x14ac:dyDescent="0.2">
      <c r="A68" s="103">
        <v>52</v>
      </c>
      <c r="B68" s="104" t="s">
        <v>49</v>
      </c>
      <c r="C68" s="105">
        <v>1</v>
      </c>
      <c r="D68" s="105">
        <v>1.8</v>
      </c>
      <c r="E68" s="105"/>
      <c r="F68" s="105"/>
      <c r="G68" s="106">
        <f>H68</f>
        <v>12178.576800000001</v>
      </c>
      <c r="H68" s="106">
        <f t="shared" ref="H68" si="31">2379*1.8*1.58*D68</f>
        <v>12178.576800000001</v>
      </c>
      <c r="I68" s="106"/>
      <c r="J68" s="261"/>
      <c r="K68" s="106">
        <v>0</v>
      </c>
      <c r="L68" s="108"/>
      <c r="M68" s="103"/>
      <c r="N68" s="103"/>
      <c r="O68" s="103"/>
      <c r="P68" s="103"/>
      <c r="Q68" s="103"/>
      <c r="R68" s="103"/>
      <c r="S68" s="103"/>
      <c r="T68" s="106">
        <f>H68*[1]чернетка!$I$78</f>
        <v>60892.884000000005</v>
      </c>
      <c r="U68" s="106">
        <f t="shared" ref="U68" si="32">(H68+I68+T68)*C68</f>
        <v>73071.460800000001</v>
      </c>
      <c r="V68" s="106">
        <f t="shared" ref="V68:V75" si="33">U68*5</f>
        <v>365357.304</v>
      </c>
      <c r="W68" s="154"/>
      <c r="X68" s="154"/>
      <c r="Y68" s="154"/>
    </row>
    <row r="69" spans="1:25" s="150" customFormat="1" ht="22.5" x14ac:dyDescent="0.2">
      <c r="A69" s="103">
        <v>53</v>
      </c>
      <c r="B69" s="110" t="s">
        <v>121</v>
      </c>
      <c r="C69" s="105">
        <v>1</v>
      </c>
      <c r="D69" s="105"/>
      <c r="E69" s="105"/>
      <c r="F69" s="105"/>
      <c r="G69" s="106">
        <f t="shared" ref="G69:G77" si="34">H69</f>
        <v>12178.576800000001</v>
      </c>
      <c r="H69" s="106">
        <f>SUM(H68)</f>
        <v>12178.576800000001</v>
      </c>
      <c r="I69" s="106">
        <f t="shared" ref="I69:U69" si="35">SUM(I68)</f>
        <v>0</v>
      </c>
      <c r="J69" s="106">
        <f t="shared" si="35"/>
        <v>0</v>
      </c>
      <c r="K69" s="106">
        <f t="shared" si="35"/>
        <v>0</v>
      </c>
      <c r="L69" s="106">
        <f t="shared" si="35"/>
        <v>0</v>
      </c>
      <c r="M69" s="106">
        <f t="shared" si="35"/>
        <v>0</v>
      </c>
      <c r="N69" s="106">
        <f t="shared" si="35"/>
        <v>0</v>
      </c>
      <c r="O69" s="106">
        <f t="shared" si="35"/>
        <v>0</v>
      </c>
      <c r="P69" s="106">
        <f t="shared" si="35"/>
        <v>0</v>
      </c>
      <c r="Q69" s="106">
        <f t="shared" si="35"/>
        <v>0</v>
      </c>
      <c r="R69" s="106">
        <f t="shared" si="35"/>
        <v>0</v>
      </c>
      <c r="S69" s="106">
        <f t="shared" si="35"/>
        <v>0</v>
      </c>
      <c r="T69" s="106">
        <f t="shared" si="35"/>
        <v>60892.884000000005</v>
      </c>
      <c r="U69" s="106">
        <f t="shared" si="35"/>
        <v>73071.460800000001</v>
      </c>
      <c r="V69" s="106">
        <f>SUM(V68)</f>
        <v>365357.304</v>
      </c>
    </row>
    <row r="70" spans="1:25" s="74" customFormat="1" ht="33.75" x14ac:dyDescent="0.2">
      <c r="A70" s="103">
        <v>54</v>
      </c>
      <c r="B70" s="104" t="s">
        <v>272</v>
      </c>
      <c r="C70" s="105">
        <v>1</v>
      </c>
      <c r="D70" s="105" t="s">
        <v>123</v>
      </c>
      <c r="E70" s="105">
        <v>1.54</v>
      </c>
      <c r="F70" s="122">
        <f>H70/166.17</f>
        <v>62.703550821447926</v>
      </c>
      <c r="G70" s="106">
        <f t="shared" si="34"/>
        <v>10419.449040000001</v>
      </c>
      <c r="H70" s="106">
        <f t="shared" ref="H70:H75" si="36">2379*1.8*1.58*E70</f>
        <v>10419.449040000001</v>
      </c>
      <c r="I70" s="106">
        <f>H70*4/100</f>
        <v>416.77796160000003</v>
      </c>
      <c r="J70" s="261"/>
      <c r="K70" s="106">
        <v>0</v>
      </c>
      <c r="L70" s="108"/>
      <c r="M70" s="103"/>
      <c r="N70" s="103"/>
      <c r="O70" s="103"/>
      <c r="P70" s="103"/>
      <c r="Q70" s="103"/>
      <c r="R70" s="103"/>
      <c r="S70" s="103"/>
      <c r="T70" s="106">
        <f>H70*[1]чернетка!I79/100</f>
        <v>520.97245200000009</v>
      </c>
      <c r="U70" s="106">
        <f>(H70+I70+P70+Q70+T70)*C70</f>
        <v>11357.199453600002</v>
      </c>
      <c r="V70" s="106">
        <f t="shared" si="33"/>
        <v>56785.997268000006</v>
      </c>
      <c r="W70" s="154"/>
      <c r="X70" s="154"/>
      <c r="Y70" s="154"/>
    </row>
    <row r="71" spans="1:25" s="74" customFormat="1" ht="33.75" x14ac:dyDescent="0.2">
      <c r="A71" s="103">
        <v>55</v>
      </c>
      <c r="B71" s="104" t="s">
        <v>50</v>
      </c>
      <c r="C71" s="105">
        <v>2</v>
      </c>
      <c r="D71" s="105" t="s">
        <v>115</v>
      </c>
      <c r="E71" s="105">
        <v>1.35</v>
      </c>
      <c r="F71" s="122">
        <f t="shared" ref="F71:F75" si="37">H71/166.17</f>
        <v>54.967398447373178</v>
      </c>
      <c r="G71" s="106">
        <f t="shared" si="34"/>
        <v>9133.9326000000001</v>
      </c>
      <c r="H71" s="106">
        <f t="shared" si="36"/>
        <v>9133.9326000000001</v>
      </c>
      <c r="I71" s="106">
        <f t="shared" ref="I71" si="38">H71*4/100</f>
        <v>365.357304</v>
      </c>
      <c r="J71" s="261"/>
      <c r="K71" s="106">
        <v>0</v>
      </c>
      <c r="L71" s="108"/>
      <c r="M71" s="103"/>
      <c r="N71" s="103"/>
      <c r="O71" s="103"/>
      <c r="P71" s="103"/>
      <c r="Q71" s="103"/>
      <c r="R71" s="103"/>
      <c r="S71" s="103"/>
      <c r="T71" s="106">
        <f>H71*[1]чернетка!I80/100</f>
        <v>456.69663000000003</v>
      </c>
      <c r="U71" s="106">
        <f t="shared" ref="U71:U75" si="39">(H71+I71+P71+Q71+T71)*C71</f>
        <v>19911.973067999999</v>
      </c>
      <c r="V71" s="106">
        <f t="shared" si="33"/>
        <v>99559.865339999989</v>
      </c>
      <c r="W71" s="154"/>
      <c r="X71" s="154"/>
      <c r="Y71" s="154"/>
    </row>
    <row r="72" spans="1:25" s="74" customFormat="1" ht="33.75" x14ac:dyDescent="0.2">
      <c r="A72" s="103">
        <v>56</v>
      </c>
      <c r="B72" s="104" t="s">
        <v>50</v>
      </c>
      <c r="C72" s="105">
        <v>3</v>
      </c>
      <c r="D72" s="105" t="s">
        <v>123</v>
      </c>
      <c r="E72" s="105">
        <v>1.54</v>
      </c>
      <c r="F72" s="122">
        <f t="shared" si="37"/>
        <v>62.703550821447926</v>
      </c>
      <c r="G72" s="106">
        <f t="shared" si="34"/>
        <v>10419.449040000001</v>
      </c>
      <c r="H72" s="106">
        <f t="shared" si="36"/>
        <v>10419.449040000001</v>
      </c>
      <c r="I72" s="106">
        <f>H72*12/100</f>
        <v>1250.3338848000003</v>
      </c>
      <c r="J72" s="261"/>
      <c r="K72" s="106">
        <v>0</v>
      </c>
      <c r="L72" s="108"/>
      <c r="M72" s="103"/>
      <c r="N72" s="103"/>
      <c r="O72" s="103"/>
      <c r="P72" s="103"/>
      <c r="Q72" s="103"/>
      <c r="R72" s="103"/>
      <c r="S72" s="103"/>
      <c r="T72" s="106">
        <f>H72*[1]чернетка!I81/100</f>
        <v>520.97245200000009</v>
      </c>
      <c r="U72" s="106">
        <f t="shared" si="39"/>
        <v>36572.266130400007</v>
      </c>
      <c r="V72" s="106">
        <f t="shared" si="33"/>
        <v>182861.33065200003</v>
      </c>
      <c r="W72" s="154"/>
      <c r="X72" s="154"/>
      <c r="Y72" s="154"/>
    </row>
    <row r="73" spans="1:25" s="74" customFormat="1" ht="33.75" x14ac:dyDescent="0.2">
      <c r="A73" s="103">
        <v>57</v>
      </c>
      <c r="B73" s="104" t="s">
        <v>52</v>
      </c>
      <c r="C73" s="105">
        <v>1</v>
      </c>
      <c r="D73" s="105" t="s">
        <v>123</v>
      </c>
      <c r="E73" s="105">
        <v>1.54</v>
      </c>
      <c r="F73" s="122">
        <f t="shared" si="37"/>
        <v>62.703550821447926</v>
      </c>
      <c r="G73" s="106">
        <f t="shared" si="34"/>
        <v>10419.449040000001</v>
      </c>
      <c r="H73" s="106">
        <f t="shared" si="36"/>
        <v>10419.449040000001</v>
      </c>
      <c r="I73" s="106">
        <f>H73*4/100</f>
        <v>416.77796160000003</v>
      </c>
      <c r="J73" s="261"/>
      <c r="K73" s="106">
        <v>0</v>
      </c>
      <c r="L73" s="108"/>
      <c r="M73" s="103"/>
      <c r="N73" s="103"/>
      <c r="O73" s="103"/>
      <c r="P73" s="107">
        <v>949.27</v>
      </c>
      <c r="Q73" s="107">
        <v>245.21</v>
      </c>
      <c r="R73" s="103"/>
      <c r="S73" s="103"/>
      <c r="T73" s="106">
        <f>H73*[1]чернетка!I82/100</f>
        <v>520.97245200000009</v>
      </c>
      <c r="U73" s="106">
        <f t="shared" si="39"/>
        <v>12551.679453600002</v>
      </c>
      <c r="V73" s="106">
        <f t="shared" si="33"/>
        <v>62758.397268000008</v>
      </c>
      <c r="W73" s="154"/>
      <c r="X73" s="154"/>
      <c r="Y73" s="154"/>
    </row>
    <row r="74" spans="1:25" s="74" customFormat="1" ht="33.75" x14ac:dyDescent="0.2">
      <c r="A74" s="103">
        <v>58</v>
      </c>
      <c r="B74" s="104" t="s">
        <v>50</v>
      </c>
      <c r="C74" s="105">
        <v>2</v>
      </c>
      <c r="D74" s="105" t="s">
        <v>70</v>
      </c>
      <c r="E74" s="105">
        <v>1.2</v>
      </c>
      <c r="F74" s="122">
        <f t="shared" si="37"/>
        <v>48.859909730998375</v>
      </c>
      <c r="G74" s="106">
        <f t="shared" si="34"/>
        <v>8119.0511999999999</v>
      </c>
      <c r="H74" s="106">
        <f t="shared" si="36"/>
        <v>8119.0511999999999</v>
      </c>
      <c r="I74" s="106">
        <f>H74*8/100</f>
        <v>649.52409599999999</v>
      </c>
      <c r="J74" s="261"/>
      <c r="K74" s="106">
        <v>0</v>
      </c>
      <c r="L74" s="108"/>
      <c r="M74" s="103"/>
      <c r="N74" s="103"/>
      <c r="O74" s="103"/>
      <c r="P74" s="107">
        <v>1479.17</v>
      </c>
      <c r="Q74" s="107">
        <v>382.1</v>
      </c>
      <c r="R74" s="103"/>
      <c r="S74" s="103"/>
      <c r="T74" s="106">
        <f>H74*[1]чернетка!I83/100</f>
        <v>405.95256000000001</v>
      </c>
      <c r="U74" s="106">
        <f t="shared" si="39"/>
        <v>22071.595711999998</v>
      </c>
      <c r="V74" s="106">
        <f t="shared" si="33"/>
        <v>110357.97855999999</v>
      </c>
      <c r="W74" s="154"/>
      <c r="X74" s="154"/>
      <c r="Y74" s="154"/>
    </row>
    <row r="75" spans="1:25" s="74" customFormat="1" ht="33.75" x14ac:dyDescent="0.2">
      <c r="A75" s="103">
        <v>59</v>
      </c>
      <c r="B75" s="104" t="s">
        <v>124</v>
      </c>
      <c r="C75" s="105">
        <v>2</v>
      </c>
      <c r="D75" s="105" t="s">
        <v>115</v>
      </c>
      <c r="E75" s="105">
        <v>1.35</v>
      </c>
      <c r="F75" s="122">
        <f t="shared" si="37"/>
        <v>54.967398447373178</v>
      </c>
      <c r="G75" s="106">
        <f t="shared" si="34"/>
        <v>9133.9326000000001</v>
      </c>
      <c r="H75" s="106">
        <f t="shared" si="36"/>
        <v>9133.9326000000001</v>
      </c>
      <c r="I75" s="106">
        <f>H75*8/100</f>
        <v>730.714608</v>
      </c>
      <c r="J75" s="261"/>
      <c r="K75" s="106">
        <v>0</v>
      </c>
      <c r="L75" s="108"/>
      <c r="M75" s="103"/>
      <c r="N75" s="103"/>
      <c r="O75" s="103"/>
      <c r="P75" s="107">
        <v>1664.16</v>
      </c>
      <c r="Q75" s="107">
        <v>429.88</v>
      </c>
      <c r="R75" s="103"/>
      <c r="S75" s="103"/>
      <c r="T75" s="106">
        <f>H75*[1]чернетка!I84/100</f>
        <v>456.69663000000003</v>
      </c>
      <c r="U75" s="106">
        <f t="shared" si="39"/>
        <v>24830.767675999999</v>
      </c>
      <c r="V75" s="106">
        <f t="shared" si="33"/>
        <v>124153.83838</v>
      </c>
      <c r="W75" s="154"/>
      <c r="X75" s="154"/>
      <c r="Y75" s="154"/>
    </row>
    <row r="76" spans="1:25" s="150" customFormat="1" ht="22.5" x14ac:dyDescent="0.2">
      <c r="A76" s="103">
        <v>60</v>
      </c>
      <c r="B76" s="104" t="s">
        <v>125</v>
      </c>
      <c r="C76" s="105">
        <f>SUM(C70:C75)</f>
        <v>11</v>
      </c>
      <c r="D76" s="105"/>
      <c r="E76" s="105"/>
      <c r="F76" s="105"/>
      <c r="G76" s="106">
        <f t="shared" si="34"/>
        <v>57645.26352</v>
      </c>
      <c r="H76" s="106">
        <f>SUM(H70:H75)</f>
        <v>57645.26352</v>
      </c>
      <c r="I76" s="106">
        <f t="shared" ref="I76:U76" si="40">SUM(I70:I75)</f>
        <v>3829.4858160000003</v>
      </c>
      <c r="J76" s="106">
        <f t="shared" si="40"/>
        <v>0</v>
      </c>
      <c r="K76" s="106">
        <f t="shared" si="40"/>
        <v>0</v>
      </c>
      <c r="L76" s="106">
        <f t="shared" si="40"/>
        <v>0</v>
      </c>
      <c r="M76" s="106">
        <f t="shared" si="40"/>
        <v>0</v>
      </c>
      <c r="N76" s="106">
        <f t="shared" si="40"/>
        <v>0</v>
      </c>
      <c r="O76" s="106">
        <f t="shared" si="40"/>
        <v>0</v>
      </c>
      <c r="P76" s="106">
        <f t="shared" si="40"/>
        <v>4092.6000000000004</v>
      </c>
      <c r="Q76" s="106">
        <f t="shared" si="40"/>
        <v>1057.19</v>
      </c>
      <c r="R76" s="106">
        <f t="shared" si="40"/>
        <v>0</v>
      </c>
      <c r="S76" s="106">
        <f t="shared" si="40"/>
        <v>0</v>
      </c>
      <c r="T76" s="106">
        <f t="shared" si="40"/>
        <v>2882.2631760000004</v>
      </c>
      <c r="U76" s="106">
        <f t="shared" si="40"/>
        <v>127295.4814936</v>
      </c>
      <c r="V76" s="106">
        <f>SUM(V70:V75)</f>
        <v>636477.40746799996</v>
      </c>
    </row>
    <row r="77" spans="1:25" s="150" customFormat="1" ht="11.25" x14ac:dyDescent="0.2">
      <c r="A77" s="103">
        <v>61</v>
      </c>
      <c r="B77" s="104" t="s">
        <v>126</v>
      </c>
      <c r="C77" s="105">
        <f>C76+C69</f>
        <v>12</v>
      </c>
      <c r="D77" s="105"/>
      <c r="E77" s="105"/>
      <c r="F77" s="105"/>
      <c r="G77" s="106">
        <f t="shared" si="34"/>
        <v>69823.840320000003</v>
      </c>
      <c r="H77" s="106">
        <f>H76+H69</f>
        <v>69823.840320000003</v>
      </c>
      <c r="I77" s="106">
        <f t="shared" ref="I77:V77" si="41">I76+I69</f>
        <v>3829.4858160000003</v>
      </c>
      <c r="J77" s="106">
        <f t="shared" si="41"/>
        <v>0</v>
      </c>
      <c r="K77" s="106">
        <f t="shared" si="41"/>
        <v>0</v>
      </c>
      <c r="L77" s="106">
        <f t="shared" si="41"/>
        <v>0</v>
      </c>
      <c r="M77" s="106">
        <f t="shared" si="41"/>
        <v>0</v>
      </c>
      <c r="N77" s="106">
        <f t="shared" si="41"/>
        <v>0</v>
      </c>
      <c r="O77" s="106">
        <f t="shared" si="41"/>
        <v>0</v>
      </c>
      <c r="P77" s="106">
        <f t="shared" si="41"/>
        <v>4092.6000000000004</v>
      </c>
      <c r="Q77" s="106">
        <f t="shared" si="41"/>
        <v>1057.19</v>
      </c>
      <c r="R77" s="106">
        <f t="shared" si="41"/>
        <v>0</v>
      </c>
      <c r="S77" s="106">
        <f t="shared" si="41"/>
        <v>0</v>
      </c>
      <c r="T77" s="106">
        <f t="shared" si="41"/>
        <v>63775.147176000006</v>
      </c>
      <c r="U77" s="106">
        <f t="shared" si="41"/>
        <v>200366.9422936</v>
      </c>
      <c r="V77" s="106">
        <f t="shared" si="41"/>
        <v>1001834.711468</v>
      </c>
    </row>
    <row r="78" spans="1:25" s="142" customFormat="1" ht="21.75" x14ac:dyDescent="0.2">
      <c r="A78" s="103">
        <v>62</v>
      </c>
      <c r="B78" s="99" t="s">
        <v>40</v>
      </c>
      <c r="C78" s="105"/>
      <c r="D78" s="105"/>
      <c r="E78" s="105"/>
      <c r="F78" s="105"/>
      <c r="G78" s="106"/>
      <c r="H78" s="106"/>
      <c r="I78" s="106"/>
      <c r="J78" s="103"/>
      <c r="K78" s="108"/>
      <c r="L78" s="108"/>
      <c r="M78" s="103"/>
      <c r="N78" s="103"/>
      <c r="O78" s="103"/>
      <c r="P78" s="103"/>
      <c r="Q78" s="103"/>
      <c r="R78" s="103"/>
      <c r="S78" s="103"/>
      <c r="T78" s="106"/>
      <c r="U78" s="108"/>
      <c r="V78" s="106"/>
      <c r="W78" s="150"/>
      <c r="X78" s="150"/>
      <c r="Y78" s="150"/>
    </row>
    <row r="79" spans="1:25" s="74" customFormat="1" ht="22.5" x14ac:dyDescent="0.2">
      <c r="A79" s="103">
        <v>63</v>
      </c>
      <c r="B79" s="104" t="s">
        <v>127</v>
      </c>
      <c r="C79" s="105">
        <v>1</v>
      </c>
      <c r="D79" s="105">
        <v>2.4</v>
      </c>
      <c r="E79" s="105"/>
      <c r="F79" s="105"/>
      <c r="G79" s="106">
        <f>H79</f>
        <v>16238.1024</v>
      </c>
      <c r="H79" s="106">
        <f t="shared" ref="H79:H84" si="42">2379*1.8*1.58*D79</f>
        <v>16238.1024</v>
      </c>
      <c r="I79" s="106"/>
      <c r="J79" s="261"/>
      <c r="K79" s="106">
        <v>0</v>
      </c>
      <c r="L79" s="108"/>
      <c r="M79" s="103"/>
      <c r="N79" s="103"/>
      <c r="O79" s="103"/>
      <c r="P79" s="103"/>
      <c r="Q79" s="103"/>
      <c r="R79" s="103"/>
      <c r="S79" s="103"/>
      <c r="T79" s="106">
        <f>H79*[1]чернетка!I67/100</f>
        <v>1623.81024</v>
      </c>
      <c r="U79" s="106">
        <f t="shared" ref="U79:U84" si="43">(H79+I79+P79+Q79+T79)*C79</f>
        <v>17861.912639999999</v>
      </c>
      <c r="V79" s="106">
        <f t="shared" ref="V79:V84" si="44">U79*5</f>
        <v>89309.56319999999</v>
      </c>
      <c r="W79" s="154"/>
      <c r="X79" s="154"/>
      <c r="Y79" s="154"/>
    </row>
    <row r="80" spans="1:25" s="74" customFormat="1" ht="22.5" x14ac:dyDescent="0.2">
      <c r="A80" s="103">
        <v>64</v>
      </c>
      <c r="B80" s="258" t="s">
        <v>254</v>
      </c>
      <c r="C80" s="105">
        <v>1</v>
      </c>
      <c r="D80" s="105">
        <v>2</v>
      </c>
      <c r="E80" s="105"/>
      <c r="F80" s="105"/>
      <c r="G80" s="106">
        <f t="shared" ref="G80:G85" si="45">H80</f>
        <v>13531.752</v>
      </c>
      <c r="H80" s="106">
        <f t="shared" si="42"/>
        <v>13531.752</v>
      </c>
      <c r="I80" s="106"/>
      <c r="J80" s="261"/>
      <c r="K80" s="106"/>
      <c r="L80" s="108"/>
      <c r="M80" s="103"/>
      <c r="N80" s="103"/>
      <c r="O80" s="103"/>
      <c r="P80" s="103"/>
      <c r="Q80" s="103"/>
      <c r="R80" s="103"/>
      <c r="S80" s="103"/>
      <c r="T80" s="106">
        <f>H80*[1]чернетка!I68/100</f>
        <v>676.58760000000007</v>
      </c>
      <c r="U80" s="106">
        <f t="shared" si="43"/>
        <v>14208.339600000001</v>
      </c>
      <c r="V80" s="106">
        <f t="shared" si="44"/>
        <v>71041.698000000004</v>
      </c>
      <c r="W80" s="154"/>
      <c r="X80" s="154"/>
      <c r="Y80" s="154"/>
    </row>
    <row r="81" spans="1:25" s="73" customFormat="1" ht="33.75" x14ac:dyDescent="0.2">
      <c r="A81" s="103">
        <v>65</v>
      </c>
      <c r="B81" s="262" t="s">
        <v>41</v>
      </c>
      <c r="C81" s="108">
        <v>1</v>
      </c>
      <c r="D81" s="108">
        <v>1.9</v>
      </c>
      <c r="E81" s="108"/>
      <c r="F81" s="108"/>
      <c r="G81" s="106">
        <f t="shared" si="45"/>
        <v>12855.1644</v>
      </c>
      <c r="H81" s="106">
        <f t="shared" si="42"/>
        <v>12855.1644</v>
      </c>
      <c r="I81" s="106"/>
      <c r="J81" s="263"/>
      <c r="K81" s="106">
        <v>0</v>
      </c>
      <c r="L81" s="108"/>
      <c r="M81" s="108"/>
      <c r="N81" s="108"/>
      <c r="O81" s="108"/>
      <c r="P81" s="108"/>
      <c r="Q81" s="108"/>
      <c r="R81" s="108"/>
      <c r="S81" s="108"/>
      <c r="T81" s="106">
        <f>H81*[1]чернетка!I69/100</f>
        <v>642.75822000000005</v>
      </c>
      <c r="U81" s="106">
        <f t="shared" si="43"/>
        <v>13497.922619999999</v>
      </c>
      <c r="V81" s="106">
        <f t="shared" si="44"/>
        <v>67489.613100000002</v>
      </c>
      <c r="W81" s="133"/>
      <c r="X81" s="133"/>
      <c r="Y81" s="133"/>
    </row>
    <row r="82" spans="1:25" s="73" customFormat="1" ht="61.5" customHeight="1" x14ac:dyDescent="0.2">
      <c r="A82" s="103">
        <v>66</v>
      </c>
      <c r="B82" s="262" t="s">
        <v>42</v>
      </c>
      <c r="C82" s="108">
        <v>1</v>
      </c>
      <c r="D82" s="264">
        <v>1.8</v>
      </c>
      <c r="E82" s="108"/>
      <c r="F82" s="108"/>
      <c r="G82" s="106">
        <f t="shared" si="45"/>
        <v>12178.576800000001</v>
      </c>
      <c r="H82" s="106">
        <f t="shared" si="42"/>
        <v>12178.576800000001</v>
      </c>
      <c r="I82" s="106"/>
      <c r="J82" s="263"/>
      <c r="K82" s="106">
        <v>0</v>
      </c>
      <c r="L82" s="108"/>
      <c r="M82" s="108"/>
      <c r="N82" s="108"/>
      <c r="O82" s="108"/>
      <c r="P82" s="108"/>
      <c r="Q82" s="108"/>
      <c r="R82" s="108"/>
      <c r="S82" s="108"/>
      <c r="T82" s="106">
        <f>H82*[1]чернетка!I70/100</f>
        <v>608.92884000000004</v>
      </c>
      <c r="U82" s="106">
        <f t="shared" si="43"/>
        <v>12787.505640000001</v>
      </c>
      <c r="V82" s="106">
        <f t="shared" si="44"/>
        <v>63937.528200000008</v>
      </c>
      <c r="W82" s="133"/>
      <c r="X82" s="133"/>
      <c r="Y82" s="133"/>
    </row>
    <row r="83" spans="1:25" s="74" customFormat="1" ht="11.25" x14ac:dyDescent="0.2">
      <c r="A83" s="103">
        <v>67</v>
      </c>
      <c r="B83" s="104" t="s">
        <v>43</v>
      </c>
      <c r="C83" s="105">
        <v>1</v>
      </c>
      <c r="D83" s="111">
        <v>1.8</v>
      </c>
      <c r="E83" s="105"/>
      <c r="F83" s="105"/>
      <c r="G83" s="106">
        <f t="shared" si="45"/>
        <v>12178.576800000001</v>
      </c>
      <c r="H83" s="106">
        <f t="shared" si="42"/>
        <v>12178.576800000001</v>
      </c>
      <c r="I83" s="106"/>
      <c r="J83" s="261"/>
      <c r="K83" s="106">
        <v>0</v>
      </c>
      <c r="L83" s="108"/>
      <c r="M83" s="103"/>
      <c r="N83" s="103"/>
      <c r="O83" s="103"/>
      <c r="P83" s="103"/>
      <c r="Q83" s="103"/>
      <c r="R83" s="103"/>
      <c r="S83" s="103"/>
      <c r="T83" s="106">
        <f>H83*[1]чернетка!I71/100</f>
        <v>608.92884000000004</v>
      </c>
      <c r="U83" s="106">
        <f t="shared" si="43"/>
        <v>12787.505640000001</v>
      </c>
      <c r="V83" s="106">
        <f t="shared" si="44"/>
        <v>63937.528200000008</v>
      </c>
      <c r="W83" s="154"/>
      <c r="X83" s="154"/>
      <c r="Y83" s="154"/>
    </row>
    <row r="84" spans="1:25" s="74" customFormat="1" ht="11.25" x14ac:dyDescent="0.2">
      <c r="A84" s="103">
        <v>68</v>
      </c>
      <c r="B84" s="104" t="s">
        <v>44</v>
      </c>
      <c r="C84" s="105">
        <v>0.5</v>
      </c>
      <c r="D84" s="105">
        <v>1.37</v>
      </c>
      <c r="E84" s="105"/>
      <c r="F84" s="105"/>
      <c r="G84" s="106">
        <f t="shared" si="45"/>
        <v>9269.2501200000006</v>
      </c>
      <c r="H84" s="106">
        <f t="shared" si="42"/>
        <v>9269.2501200000006</v>
      </c>
      <c r="I84" s="106"/>
      <c r="J84" s="261"/>
      <c r="K84" s="106">
        <v>0</v>
      </c>
      <c r="L84" s="108"/>
      <c r="M84" s="103"/>
      <c r="N84" s="103"/>
      <c r="O84" s="103"/>
      <c r="P84" s="103"/>
      <c r="Q84" s="103"/>
      <c r="R84" s="103"/>
      <c r="S84" s="103"/>
      <c r="T84" s="106">
        <f>H84*[1]чернетка!I72/100</f>
        <v>463.46250600000002</v>
      </c>
      <c r="U84" s="106">
        <f t="shared" si="43"/>
        <v>4866.3563130000002</v>
      </c>
      <c r="V84" s="106">
        <f t="shared" si="44"/>
        <v>24331.781565000001</v>
      </c>
      <c r="W84" s="154"/>
      <c r="X84" s="154"/>
      <c r="Y84" s="154"/>
    </row>
    <row r="85" spans="1:25" s="150" customFormat="1" ht="33.75" x14ac:dyDescent="0.2">
      <c r="A85" s="103">
        <v>69</v>
      </c>
      <c r="B85" s="104" t="s">
        <v>128</v>
      </c>
      <c r="C85" s="111">
        <v>5.5</v>
      </c>
      <c r="D85" s="105"/>
      <c r="E85" s="105"/>
      <c r="F85" s="105"/>
      <c r="G85" s="106">
        <f t="shared" si="45"/>
        <v>76251.422519999993</v>
      </c>
      <c r="H85" s="106">
        <f>SUM(H79:H84)</f>
        <v>76251.422519999993</v>
      </c>
      <c r="I85" s="106">
        <f t="shared" ref="I85:U85" si="46">SUM(I79:I84)</f>
        <v>0</v>
      </c>
      <c r="J85" s="106">
        <f t="shared" si="46"/>
        <v>0</v>
      </c>
      <c r="K85" s="106">
        <f t="shared" si="46"/>
        <v>0</v>
      </c>
      <c r="L85" s="106">
        <f t="shared" si="46"/>
        <v>0</v>
      </c>
      <c r="M85" s="106">
        <f t="shared" si="46"/>
        <v>0</v>
      </c>
      <c r="N85" s="106">
        <f t="shared" si="46"/>
        <v>0</v>
      </c>
      <c r="O85" s="106">
        <f t="shared" si="46"/>
        <v>0</v>
      </c>
      <c r="P85" s="106">
        <f t="shared" si="46"/>
        <v>0</v>
      </c>
      <c r="Q85" s="106">
        <f t="shared" si="46"/>
        <v>0</v>
      </c>
      <c r="R85" s="106">
        <f t="shared" si="46"/>
        <v>0</v>
      </c>
      <c r="S85" s="106">
        <f t="shared" si="46"/>
        <v>0</v>
      </c>
      <c r="T85" s="106">
        <f t="shared" si="46"/>
        <v>4624.4762460000002</v>
      </c>
      <c r="U85" s="106">
        <f t="shared" si="46"/>
        <v>76009.542453000002</v>
      </c>
      <c r="V85" s="106">
        <f>SUM(V79:V84)</f>
        <v>380047.71226500004</v>
      </c>
    </row>
    <row r="86" spans="1:25" s="142" customFormat="1" ht="11.25" x14ac:dyDescent="0.2">
      <c r="A86" s="103">
        <v>70</v>
      </c>
      <c r="B86" s="99" t="s">
        <v>53</v>
      </c>
      <c r="C86" s="105"/>
      <c r="D86" s="105"/>
      <c r="E86" s="105"/>
      <c r="F86" s="105"/>
      <c r="G86" s="106"/>
      <c r="H86" s="106"/>
      <c r="I86" s="106"/>
      <c r="J86" s="103"/>
      <c r="K86" s="108"/>
      <c r="L86" s="108"/>
      <c r="M86" s="103"/>
      <c r="N86" s="103"/>
      <c r="O86" s="103"/>
      <c r="P86" s="103"/>
      <c r="Q86" s="103"/>
      <c r="R86" s="103"/>
      <c r="S86" s="103"/>
      <c r="T86" s="106"/>
      <c r="U86" s="108"/>
      <c r="V86" s="106"/>
      <c r="W86" s="150"/>
      <c r="X86" s="150"/>
      <c r="Y86" s="150"/>
    </row>
    <row r="87" spans="1:25" s="74" customFormat="1" ht="11.25" x14ac:dyDescent="0.2">
      <c r="A87" s="103">
        <v>71</v>
      </c>
      <c r="B87" s="104" t="s">
        <v>54</v>
      </c>
      <c r="C87" s="105">
        <v>1</v>
      </c>
      <c r="D87" s="105">
        <v>1.8</v>
      </c>
      <c r="E87" s="105"/>
      <c r="F87" s="105"/>
      <c r="G87" s="106">
        <f>H87</f>
        <v>12178.576800000001</v>
      </c>
      <c r="H87" s="106">
        <f t="shared" ref="H87" si="47">2379*1.8*1.58*D87</f>
        <v>12178.576800000001</v>
      </c>
      <c r="I87" s="106"/>
      <c r="J87" s="261"/>
      <c r="K87" s="106">
        <v>0</v>
      </c>
      <c r="L87" s="108"/>
      <c r="M87" s="103"/>
      <c r="N87" s="103"/>
      <c r="O87" s="103"/>
      <c r="P87" s="103"/>
      <c r="Q87" s="103"/>
      <c r="R87" s="103"/>
      <c r="S87" s="103"/>
      <c r="T87" s="106">
        <f>H87*[1]чернетка!I87/100</f>
        <v>608.92884000000004</v>
      </c>
      <c r="U87" s="106">
        <f t="shared" ref="U87" si="48">(H87+I87+P87+Q87+T87)*C87</f>
        <v>12787.505640000001</v>
      </c>
      <c r="V87" s="106">
        <f t="shared" ref="V87:V90" si="49">U87*5</f>
        <v>63937.528200000008</v>
      </c>
      <c r="W87" s="154"/>
      <c r="X87" s="154"/>
      <c r="Y87" s="154"/>
    </row>
    <row r="88" spans="1:25" s="150" customFormat="1" ht="22.5" x14ac:dyDescent="0.2">
      <c r="A88" s="103">
        <v>72</v>
      </c>
      <c r="B88" s="110" t="s">
        <v>129</v>
      </c>
      <c r="C88" s="105">
        <v>1</v>
      </c>
      <c r="D88" s="105"/>
      <c r="E88" s="105"/>
      <c r="F88" s="105"/>
      <c r="G88" s="106">
        <f t="shared" ref="G88:G95" si="50">H88</f>
        <v>12178.576800000001</v>
      </c>
      <c r="H88" s="106">
        <f>SUM(H87)</f>
        <v>12178.576800000001</v>
      </c>
      <c r="I88" s="106">
        <f t="shared" ref="I88:T88" si="51">SUM(I87)</f>
        <v>0</v>
      </c>
      <c r="J88" s="106">
        <f t="shared" si="51"/>
        <v>0</v>
      </c>
      <c r="K88" s="106">
        <f t="shared" si="51"/>
        <v>0</v>
      </c>
      <c r="L88" s="106">
        <f t="shared" si="51"/>
        <v>0</v>
      </c>
      <c r="M88" s="106">
        <f t="shared" si="51"/>
        <v>0</v>
      </c>
      <c r="N88" s="106">
        <f t="shared" si="51"/>
        <v>0</v>
      </c>
      <c r="O88" s="106">
        <f t="shared" si="51"/>
        <v>0</v>
      </c>
      <c r="P88" s="106">
        <f t="shared" si="51"/>
        <v>0</v>
      </c>
      <c r="Q88" s="106">
        <f t="shared" si="51"/>
        <v>0</v>
      </c>
      <c r="R88" s="106">
        <f t="shared" si="51"/>
        <v>0</v>
      </c>
      <c r="S88" s="106">
        <f t="shared" si="51"/>
        <v>0</v>
      </c>
      <c r="T88" s="106">
        <f t="shared" si="51"/>
        <v>608.92884000000004</v>
      </c>
      <c r="U88" s="106">
        <f>SUM(U87)</f>
        <v>12787.505640000001</v>
      </c>
      <c r="V88" s="106">
        <f>SUM(V87)</f>
        <v>63937.528200000008</v>
      </c>
    </row>
    <row r="89" spans="1:25" s="74" customFormat="1" ht="11.25" x14ac:dyDescent="0.2">
      <c r="A89" s="103">
        <v>73</v>
      </c>
      <c r="B89" s="104" t="s">
        <v>55</v>
      </c>
      <c r="C89" s="105">
        <v>1</v>
      </c>
      <c r="D89" s="105" t="s">
        <v>115</v>
      </c>
      <c r="E89" s="105">
        <v>1.35</v>
      </c>
      <c r="F89" s="122">
        <f t="shared" ref="F89:F90" si="52">H89/166.17</f>
        <v>54.967398447373178</v>
      </c>
      <c r="G89" s="106">
        <f t="shared" si="50"/>
        <v>9133.9326000000001</v>
      </c>
      <c r="H89" s="106">
        <f>2379*1.8*1.58*E89</f>
        <v>9133.9326000000001</v>
      </c>
      <c r="I89" s="106"/>
      <c r="J89" s="261"/>
      <c r="K89" s="106">
        <v>0</v>
      </c>
      <c r="L89" s="108"/>
      <c r="M89" s="103"/>
      <c r="N89" s="103"/>
      <c r="O89" s="103"/>
      <c r="P89" s="103"/>
      <c r="Q89" s="103"/>
      <c r="R89" s="103"/>
      <c r="S89" s="103"/>
      <c r="T89" s="106">
        <f>H89*[1]чернетка!I88/100</f>
        <v>913.39326000000005</v>
      </c>
      <c r="U89" s="106">
        <f t="shared" ref="U89:U90" si="53">(H89+I89+P89+Q89+T89)*C89</f>
        <v>10047.325860000001</v>
      </c>
      <c r="V89" s="106">
        <f t="shared" si="49"/>
        <v>50236.629300000001</v>
      </c>
      <c r="W89" s="154"/>
      <c r="X89" s="154"/>
      <c r="Y89" s="154"/>
    </row>
    <row r="90" spans="1:25" s="74" customFormat="1" ht="11.25" x14ac:dyDescent="0.2">
      <c r="A90" s="103">
        <v>74</v>
      </c>
      <c r="B90" s="104" t="s">
        <v>55</v>
      </c>
      <c r="C90" s="105">
        <v>1</v>
      </c>
      <c r="D90" s="105" t="s">
        <v>115</v>
      </c>
      <c r="E90" s="105">
        <v>1.35</v>
      </c>
      <c r="F90" s="122">
        <f t="shared" si="52"/>
        <v>54.967398447373178</v>
      </c>
      <c r="G90" s="106">
        <f t="shared" si="50"/>
        <v>9133.9326000000001</v>
      </c>
      <c r="H90" s="106">
        <f>2379*1.8*1.58*E90</f>
        <v>9133.9326000000001</v>
      </c>
      <c r="I90" s="106"/>
      <c r="J90" s="261"/>
      <c r="K90" s="106">
        <v>0</v>
      </c>
      <c r="L90" s="108"/>
      <c r="M90" s="103"/>
      <c r="N90" s="103"/>
      <c r="O90" s="103"/>
      <c r="P90" s="103"/>
      <c r="Q90" s="103"/>
      <c r="R90" s="103"/>
      <c r="S90" s="103"/>
      <c r="T90" s="106">
        <f>H90*[1]чернетка!I89/100</f>
        <v>913.39326000000005</v>
      </c>
      <c r="U90" s="106">
        <f t="shared" si="53"/>
        <v>10047.325860000001</v>
      </c>
      <c r="V90" s="106">
        <f t="shared" si="49"/>
        <v>50236.629300000001</v>
      </c>
      <c r="W90" s="154"/>
      <c r="X90" s="154"/>
      <c r="Y90" s="154"/>
    </row>
    <row r="91" spans="1:25" s="150" customFormat="1" ht="22.5" x14ac:dyDescent="0.2">
      <c r="A91" s="103">
        <v>75</v>
      </c>
      <c r="B91" s="110" t="s">
        <v>130</v>
      </c>
      <c r="C91" s="105">
        <f>SUM(C89:C90)</f>
        <v>2</v>
      </c>
      <c r="D91" s="105"/>
      <c r="E91" s="105"/>
      <c r="F91" s="105"/>
      <c r="G91" s="106">
        <f t="shared" si="50"/>
        <v>18267.8652</v>
      </c>
      <c r="H91" s="106">
        <f>SUM(H89:H90)</f>
        <v>18267.8652</v>
      </c>
      <c r="I91" s="106">
        <f t="shared" ref="I91:U91" si="54">SUM(I89:I90)</f>
        <v>0</v>
      </c>
      <c r="J91" s="106">
        <f t="shared" si="54"/>
        <v>0</v>
      </c>
      <c r="K91" s="106">
        <f t="shared" si="54"/>
        <v>0</v>
      </c>
      <c r="L91" s="106">
        <f t="shared" si="54"/>
        <v>0</v>
      </c>
      <c r="M91" s="106">
        <f t="shared" si="54"/>
        <v>0</v>
      </c>
      <c r="N91" s="106">
        <f t="shared" si="54"/>
        <v>0</v>
      </c>
      <c r="O91" s="106">
        <f t="shared" si="54"/>
        <v>0</v>
      </c>
      <c r="P91" s="106">
        <f t="shared" si="54"/>
        <v>0</v>
      </c>
      <c r="Q91" s="106">
        <f t="shared" si="54"/>
        <v>0</v>
      </c>
      <c r="R91" s="106">
        <f t="shared" si="54"/>
        <v>0</v>
      </c>
      <c r="S91" s="106">
        <f t="shared" si="54"/>
        <v>0</v>
      </c>
      <c r="T91" s="106">
        <f t="shared" si="54"/>
        <v>1826.7865200000001</v>
      </c>
      <c r="U91" s="106">
        <f t="shared" si="54"/>
        <v>20094.651720000002</v>
      </c>
      <c r="V91" s="106">
        <f>SUM(V89:V90)</f>
        <v>100473.2586</v>
      </c>
    </row>
    <row r="92" spans="1:25" s="150" customFormat="1" ht="11.25" x14ac:dyDescent="0.2">
      <c r="A92" s="103">
        <v>76</v>
      </c>
      <c r="B92" s="104" t="s">
        <v>131</v>
      </c>
      <c r="C92" s="105">
        <f>C91+C88</f>
        <v>3</v>
      </c>
      <c r="D92" s="105"/>
      <c r="E92" s="105"/>
      <c r="F92" s="105"/>
      <c r="G92" s="106">
        <f t="shared" si="50"/>
        <v>30446.442000000003</v>
      </c>
      <c r="H92" s="106">
        <f>H91+H88</f>
        <v>30446.442000000003</v>
      </c>
      <c r="I92" s="106">
        <f t="shared" ref="I92:V92" si="55">I91+I88</f>
        <v>0</v>
      </c>
      <c r="J92" s="106">
        <f t="shared" si="55"/>
        <v>0</v>
      </c>
      <c r="K92" s="106">
        <f t="shared" si="55"/>
        <v>0</v>
      </c>
      <c r="L92" s="106">
        <f t="shared" si="55"/>
        <v>0</v>
      </c>
      <c r="M92" s="106">
        <f t="shared" si="55"/>
        <v>0</v>
      </c>
      <c r="N92" s="106">
        <f t="shared" si="55"/>
        <v>0</v>
      </c>
      <c r="O92" s="106">
        <f t="shared" si="55"/>
        <v>0</v>
      </c>
      <c r="P92" s="106">
        <f t="shared" si="55"/>
        <v>0</v>
      </c>
      <c r="Q92" s="106">
        <f t="shared" si="55"/>
        <v>0</v>
      </c>
      <c r="R92" s="106">
        <f t="shared" si="55"/>
        <v>0</v>
      </c>
      <c r="S92" s="106">
        <f t="shared" si="55"/>
        <v>0</v>
      </c>
      <c r="T92" s="106">
        <f t="shared" si="55"/>
        <v>2435.7153600000001</v>
      </c>
      <c r="U92" s="106">
        <f t="shared" si="55"/>
        <v>32882.157360000005</v>
      </c>
      <c r="V92" s="106">
        <f t="shared" si="55"/>
        <v>164410.7868</v>
      </c>
    </row>
    <row r="93" spans="1:25" s="152" customFormat="1" ht="33.75" x14ac:dyDescent="0.2">
      <c r="A93" s="103">
        <v>77</v>
      </c>
      <c r="B93" s="113" t="s">
        <v>132</v>
      </c>
      <c r="C93" s="114">
        <v>15</v>
      </c>
      <c r="D93" s="114"/>
      <c r="E93" s="114"/>
      <c r="F93" s="115"/>
      <c r="G93" s="119">
        <f t="shared" si="50"/>
        <v>209200.88592</v>
      </c>
      <c r="H93" s="116">
        <f>H59+H63+H69+H85+H88</f>
        <v>209200.88592</v>
      </c>
      <c r="I93" s="116">
        <f t="shared" ref="I93:V93" si="56">I59+I63+I69+I85+I88</f>
        <v>0</v>
      </c>
      <c r="J93" s="116">
        <f t="shared" si="56"/>
        <v>0</v>
      </c>
      <c r="K93" s="116">
        <f t="shared" si="56"/>
        <v>0</v>
      </c>
      <c r="L93" s="116">
        <f t="shared" si="56"/>
        <v>0</v>
      </c>
      <c r="M93" s="116">
        <f t="shared" si="56"/>
        <v>0</v>
      </c>
      <c r="N93" s="116">
        <f t="shared" si="56"/>
        <v>0</v>
      </c>
      <c r="O93" s="116">
        <f t="shared" si="56"/>
        <v>0</v>
      </c>
      <c r="P93" s="116">
        <f t="shared" si="56"/>
        <v>0</v>
      </c>
      <c r="Q93" s="116">
        <f t="shared" si="56"/>
        <v>0</v>
      </c>
      <c r="R93" s="116">
        <f t="shared" si="56"/>
        <v>0</v>
      </c>
      <c r="S93" s="116">
        <f t="shared" si="56"/>
        <v>0</v>
      </c>
      <c r="T93" s="116">
        <f t="shared" si="56"/>
        <v>66126.289086000004</v>
      </c>
      <c r="U93" s="116">
        <f t="shared" si="56"/>
        <v>273048.76626300003</v>
      </c>
      <c r="V93" s="116">
        <f t="shared" si="56"/>
        <v>1365243.8313150001</v>
      </c>
    </row>
    <row r="94" spans="1:25" s="152" customFormat="1" ht="37.5" customHeight="1" x14ac:dyDescent="0.2">
      <c r="A94" s="103">
        <v>78</v>
      </c>
      <c r="B94" s="113" t="s">
        <v>133</v>
      </c>
      <c r="C94" s="117">
        <v>17</v>
      </c>
      <c r="D94" s="117"/>
      <c r="E94" s="117"/>
      <c r="F94" s="118"/>
      <c r="G94" s="119">
        <f t="shared" si="50"/>
        <v>84032.179919999995</v>
      </c>
      <c r="H94" s="119">
        <f>H65+H76+H91</f>
        <v>84032.179919999995</v>
      </c>
      <c r="I94" s="119">
        <f t="shared" ref="I94:V94" si="57">I65+I76+I91</f>
        <v>5453.2960560000001</v>
      </c>
      <c r="J94" s="119">
        <f t="shared" si="57"/>
        <v>0</v>
      </c>
      <c r="K94" s="119">
        <f t="shared" si="57"/>
        <v>0</v>
      </c>
      <c r="L94" s="119">
        <f t="shared" si="57"/>
        <v>0</v>
      </c>
      <c r="M94" s="119">
        <f t="shared" si="57"/>
        <v>0</v>
      </c>
      <c r="N94" s="119">
        <f t="shared" si="57"/>
        <v>0</v>
      </c>
      <c r="O94" s="119">
        <f t="shared" si="57"/>
        <v>0</v>
      </c>
      <c r="P94" s="119">
        <f t="shared" si="57"/>
        <v>7790.5400000000009</v>
      </c>
      <c r="Q94" s="119">
        <f t="shared" si="57"/>
        <v>2012.43</v>
      </c>
      <c r="R94" s="119">
        <f t="shared" si="57"/>
        <v>0</v>
      </c>
      <c r="S94" s="119">
        <f t="shared" si="57"/>
        <v>0</v>
      </c>
      <c r="T94" s="119">
        <f t="shared" si="57"/>
        <v>5115.0022560000007</v>
      </c>
      <c r="U94" s="119">
        <f t="shared" si="57"/>
        <v>198134.20321360001</v>
      </c>
      <c r="V94" s="119">
        <f t="shared" si="57"/>
        <v>990671.01606799988</v>
      </c>
    </row>
    <row r="95" spans="1:25" s="153" customFormat="1" ht="33.75" x14ac:dyDescent="0.2">
      <c r="A95" s="103">
        <v>79</v>
      </c>
      <c r="B95" s="113" t="s">
        <v>134</v>
      </c>
      <c r="C95" s="114">
        <v>32</v>
      </c>
      <c r="D95" s="114"/>
      <c r="E95" s="114"/>
      <c r="F95" s="114"/>
      <c r="G95" s="119">
        <f t="shared" si="50"/>
        <v>293233.06584</v>
      </c>
      <c r="H95" s="119">
        <f>H93+H94</f>
        <v>293233.06584</v>
      </c>
      <c r="I95" s="119">
        <f t="shared" ref="I95:V95" si="58">I93+I94</f>
        <v>5453.2960560000001</v>
      </c>
      <c r="J95" s="119">
        <f t="shared" si="58"/>
        <v>0</v>
      </c>
      <c r="K95" s="119">
        <f t="shared" si="58"/>
        <v>0</v>
      </c>
      <c r="L95" s="119">
        <f t="shared" si="58"/>
        <v>0</v>
      </c>
      <c r="M95" s="119">
        <f t="shared" si="58"/>
        <v>0</v>
      </c>
      <c r="N95" s="119">
        <f t="shared" si="58"/>
        <v>0</v>
      </c>
      <c r="O95" s="119">
        <f t="shared" si="58"/>
        <v>0</v>
      </c>
      <c r="P95" s="119">
        <f t="shared" si="58"/>
        <v>7790.5400000000009</v>
      </c>
      <c r="Q95" s="119">
        <f t="shared" si="58"/>
        <v>2012.43</v>
      </c>
      <c r="R95" s="119">
        <f t="shared" si="58"/>
        <v>0</v>
      </c>
      <c r="S95" s="119">
        <f t="shared" si="58"/>
        <v>0</v>
      </c>
      <c r="T95" s="119">
        <f t="shared" si="58"/>
        <v>71241.291342000011</v>
      </c>
      <c r="U95" s="119">
        <f t="shared" si="58"/>
        <v>471182.96947660006</v>
      </c>
      <c r="V95" s="119">
        <f t="shared" si="58"/>
        <v>2355914.847383</v>
      </c>
      <c r="W95" s="152"/>
      <c r="X95" s="152"/>
      <c r="Y95" s="152"/>
    </row>
    <row r="96" spans="1:25" s="141" customFormat="1" ht="11.25" x14ac:dyDescent="0.2">
      <c r="A96" s="103">
        <v>80</v>
      </c>
      <c r="B96" s="685" t="s">
        <v>17</v>
      </c>
      <c r="C96" s="685"/>
      <c r="D96" s="685"/>
      <c r="E96" s="685"/>
      <c r="F96" s="685"/>
      <c r="G96" s="685"/>
      <c r="H96" s="685"/>
      <c r="I96" s="119"/>
      <c r="J96" s="112"/>
      <c r="K96" s="140"/>
      <c r="L96" s="140"/>
      <c r="M96" s="112"/>
      <c r="N96" s="112"/>
      <c r="O96" s="112"/>
      <c r="P96" s="112"/>
      <c r="Q96" s="112"/>
      <c r="R96" s="112"/>
      <c r="S96" s="112"/>
      <c r="T96" s="119"/>
      <c r="U96" s="140"/>
      <c r="V96" s="119"/>
      <c r="W96" s="152"/>
      <c r="X96" s="152"/>
      <c r="Y96" s="152"/>
    </row>
    <row r="97" spans="1:25" s="74" customFormat="1" ht="11.25" x14ac:dyDescent="0.2">
      <c r="A97" s="103">
        <v>81</v>
      </c>
      <c r="B97" s="104" t="s">
        <v>18</v>
      </c>
      <c r="C97" s="105">
        <v>1</v>
      </c>
      <c r="D97" s="105">
        <v>2.4</v>
      </c>
      <c r="E97" s="105"/>
      <c r="F97" s="105"/>
      <c r="G97" s="106">
        <f>H97</f>
        <v>16238.1024</v>
      </c>
      <c r="H97" s="106">
        <f t="shared" ref="H97:H100" si="59">2379*1.8*1.58*D97</f>
        <v>16238.1024</v>
      </c>
      <c r="I97" s="106"/>
      <c r="J97" s="261"/>
      <c r="K97" s="106">
        <v>0</v>
      </c>
      <c r="L97" s="108"/>
      <c r="M97" s="103"/>
      <c r="N97" s="103"/>
      <c r="O97" s="103"/>
      <c r="P97" s="103"/>
      <c r="Q97" s="103"/>
      <c r="R97" s="103"/>
      <c r="S97" s="103"/>
      <c r="T97" s="106">
        <f>H97*[1]чернетка!I39/100</f>
        <v>1623.81024</v>
      </c>
      <c r="U97" s="106">
        <f t="shared" ref="U97:U100" si="60">(H97+I97+P97+Q97+T97)*C97</f>
        <v>17861.912639999999</v>
      </c>
      <c r="V97" s="106">
        <f t="shared" ref="V97:V100" si="61">U97*5</f>
        <v>89309.56319999999</v>
      </c>
      <c r="W97" s="154"/>
      <c r="X97" s="154"/>
      <c r="Y97" s="154"/>
    </row>
    <row r="98" spans="1:25" s="74" customFormat="1" ht="11.25" x14ac:dyDescent="0.2">
      <c r="A98" s="103">
        <v>82</v>
      </c>
      <c r="B98" s="104" t="s">
        <v>19</v>
      </c>
      <c r="C98" s="105">
        <v>1</v>
      </c>
      <c r="D98" s="105">
        <v>1.8</v>
      </c>
      <c r="E98" s="105"/>
      <c r="F98" s="105"/>
      <c r="G98" s="106">
        <f t="shared" ref="G98:G101" si="62">H98</f>
        <v>12178.576800000001</v>
      </c>
      <c r="H98" s="106">
        <f t="shared" si="59"/>
        <v>12178.576800000001</v>
      </c>
      <c r="I98" s="106"/>
      <c r="J98" s="261"/>
      <c r="K98" s="106">
        <v>0</v>
      </c>
      <c r="L98" s="108"/>
      <c r="M98" s="103"/>
      <c r="N98" s="103"/>
      <c r="O98" s="103"/>
      <c r="P98" s="103"/>
      <c r="Q98" s="103"/>
      <c r="R98" s="103"/>
      <c r="S98" s="103"/>
      <c r="T98" s="106">
        <f>H98*[1]чернетка!I40/100</f>
        <v>1217.8576800000001</v>
      </c>
      <c r="U98" s="106">
        <f t="shared" si="60"/>
        <v>13396.43448</v>
      </c>
      <c r="V98" s="106">
        <f t="shared" si="61"/>
        <v>66982.172399999996</v>
      </c>
      <c r="W98" s="154"/>
      <c r="X98" s="154"/>
      <c r="Y98" s="154"/>
    </row>
    <row r="99" spans="1:25" s="74" customFormat="1" ht="11.25" x14ac:dyDescent="0.2">
      <c r="A99" s="103">
        <v>83</v>
      </c>
      <c r="B99" s="104" t="s">
        <v>113</v>
      </c>
      <c r="C99" s="105">
        <v>2</v>
      </c>
      <c r="D99" s="111">
        <v>1.8</v>
      </c>
      <c r="E99" s="105"/>
      <c r="F99" s="105"/>
      <c r="G99" s="106">
        <f t="shared" si="62"/>
        <v>12178.576800000001</v>
      </c>
      <c r="H99" s="106">
        <f t="shared" si="59"/>
        <v>12178.576800000001</v>
      </c>
      <c r="I99" s="106"/>
      <c r="J99" s="261"/>
      <c r="K99" s="106">
        <v>0</v>
      </c>
      <c r="L99" s="108"/>
      <c r="M99" s="103"/>
      <c r="N99" s="103"/>
      <c r="O99" s="103"/>
      <c r="P99" s="103"/>
      <c r="Q99" s="107">
        <v>477.64</v>
      </c>
      <c r="R99" s="103"/>
      <c r="S99" s="107"/>
      <c r="T99" s="106">
        <f>H99*[1]чернетка!I41/100</f>
        <v>608.92884000000004</v>
      </c>
      <c r="U99" s="106">
        <f t="shared" si="60"/>
        <v>26530.291280000001</v>
      </c>
      <c r="V99" s="106">
        <f t="shared" si="61"/>
        <v>132651.4564</v>
      </c>
      <c r="W99" s="154"/>
      <c r="X99" s="154"/>
      <c r="Y99" s="154"/>
    </row>
    <row r="100" spans="1:25" s="74" customFormat="1" ht="22.5" x14ac:dyDescent="0.2">
      <c r="A100" s="103">
        <v>84</v>
      </c>
      <c r="B100" s="104" t="s">
        <v>135</v>
      </c>
      <c r="C100" s="105">
        <v>0.5</v>
      </c>
      <c r="D100" s="111">
        <v>1.7</v>
      </c>
      <c r="E100" s="105"/>
      <c r="F100" s="105"/>
      <c r="G100" s="106">
        <f t="shared" si="62"/>
        <v>11501.9892</v>
      </c>
      <c r="H100" s="106">
        <f t="shared" si="59"/>
        <v>11501.9892</v>
      </c>
      <c r="I100" s="106"/>
      <c r="J100" s="261"/>
      <c r="K100" s="106">
        <v>0</v>
      </c>
      <c r="L100" s="108"/>
      <c r="M100" s="103"/>
      <c r="N100" s="103"/>
      <c r="O100" s="103"/>
      <c r="P100" s="103"/>
      <c r="Q100" s="103"/>
      <c r="R100" s="103"/>
      <c r="S100" s="103"/>
      <c r="T100" s="106">
        <f>H100*[1]чернетка!I42/100</f>
        <v>575.09945999999991</v>
      </c>
      <c r="U100" s="106">
        <f t="shared" si="60"/>
        <v>6038.5443299999997</v>
      </c>
      <c r="V100" s="106">
        <f t="shared" si="61"/>
        <v>30192.721649999999</v>
      </c>
      <c r="W100" s="154"/>
      <c r="X100" s="154"/>
      <c r="Y100" s="154"/>
    </row>
    <row r="101" spans="1:25" s="152" customFormat="1" ht="22.5" x14ac:dyDescent="0.2">
      <c r="A101" s="103">
        <v>85</v>
      </c>
      <c r="B101" s="113" t="s">
        <v>136</v>
      </c>
      <c r="C101" s="117">
        <v>4.5</v>
      </c>
      <c r="D101" s="117"/>
      <c r="E101" s="117"/>
      <c r="F101" s="117"/>
      <c r="G101" s="119">
        <f t="shared" si="62"/>
        <v>52097.245200000005</v>
      </c>
      <c r="H101" s="119">
        <f>SUM(H97:H100)</f>
        <v>52097.245200000005</v>
      </c>
      <c r="I101" s="119">
        <f t="shared" ref="I101:V101" si="63">SUM(I97:I100)</f>
        <v>0</v>
      </c>
      <c r="J101" s="119">
        <f t="shared" si="63"/>
        <v>0</v>
      </c>
      <c r="K101" s="119">
        <f t="shared" si="63"/>
        <v>0</v>
      </c>
      <c r="L101" s="119">
        <f t="shared" si="63"/>
        <v>0</v>
      </c>
      <c r="M101" s="119">
        <f t="shared" si="63"/>
        <v>0</v>
      </c>
      <c r="N101" s="119">
        <f t="shared" si="63"/>
        <v>0</v>
      </c>
      <c r="O101" s="119">
        <f t="shared" si="63"/>
        <v>0</v>
      </c>
      <c r="P101" s="119">
        <f t="shared" si="63"/>
        <v>0</v>
      </c>
      <c r="Q101" s="119">
        <f t="shared" si="63"/>
        <v>477.64</v>
      </c>
      <c r="R101" s="119">
        <f t="shared" si="63"/>
        <v>0</v>
      </c>
      <c r="S101" s="119">
        <f t="shared" si="63"/>
        <v>0</v>
      </c>
      <c r="T101" s="119">
        <f t="shared" si="63"/>
        <v>4025.6962199999998</v>
      </c>
      <c r="U101" s="119">
        <f t="shared" si="63"/>
        <v>63827.182729999993</v>
      </c>
      <c r="V101" s="119">
        <f t="shared" si="63"/>
        <v>319135.91365</v>
      </c>
    </row>
    <row r="102" spans="1:25" s="142" customFormat="1" ht="21.75" x14ac:dyDescent="0.2">
      <c r="A102" s="103">
        <v>86</v>
      </c>
      <c r="B102" s="99" t="s">
        <v>137</v>
      </c>
      <c r="C102" s="105"/>
      <c r="D102" s="105"/>
      <c r="E102" s="105"/>
      <c r="F102" s="105"/>
      <c r="G102" s="106"/>
      <c r="H102" s="106"/>
      <c r="I102" s="106"/>
      <c r="J102" s="103"/>
      <c r="K102" s="108"/>
      <c r="L102" s="108"/>
      <c r="M102" s="103"/>
      <c r="N102" s="103"/>
      <c r="O102" s="103"/>
      <c r="P102" s="103"/>
      <c r="Q102" s="103"/>
      <c r="R102" s="103"/>
      <c r="S102" s="103"/>
      <c r="T102" s="106"/>
      <c r="U102" s="108"/>
      <c r="V102" s="106"/>
      <c r="W102" s="150"/>
      <c r="X102" s="150"/>
      <c r="Y102" s="150"/>
    </row>
    <row r="103" spans="1:25" s="74" customFormat="1" ht="22.5" x14ac:dyDescent="0.2">
      <c r="A103" s="103">
        <v>87</v>
      </c>
      <c r="B103" s="104" t="s">
        <v>20</v>
      </c>
      <c r="C103" s="105">
        <v>5</v>
      </c>
      <c r="D103" s="105" t="s">
        <v>70</v>
      </c>
      <c r="E103" s="105">
        <v>1.2</v>
      </c>
      <c r="F103" s="122">
        <f t="shared" ref="F103:F112" si="64">H103/166.17</f>
        <v>48.859909730998375</v>
      </c>
      <c r="G103" s="106">
        <f>H103</f>
        <v>8119.0511999999999</v>
      </c>
      <c r="H103" s="106">
        <f>2379*1.8*1.58*E103</f>
        <v>8119.0511999999999</v>
      </c>
      <c r="I103" s="106">
        <f>H103*20/100</f>
        <v>1623.81024</v>
      </c>
      <c r="J103" s="261"/>
      <c r="K103" s="106">
        <v>0</v>
      </c>
      <c r="L103" s="108"/>
      <c r="M103" s="103"/>
      <c r="N103" s="103"/>
      <c r="O103" s="103"/>
      <c r="P103" s="107">
        <v>4108.82</v>
      </c>
      <c r="Q103" s="107">
        <v>1061.3800000000001</v>
      </c>
      <c r="R103" s="103"/>
      <c r="S103" s="103"/>
      <c r="T103" s="106">
        <f>H103*[1]чернетка!I43/100</f>
        <v>811.90512000000001</v>
      </c>
      <c r="U103" s="106">
        <f t="shared" ref="U103:U120" si="65">(H103+I103+P103+Q103+T103)*C103</f>
        <v>78624.832800000004</v>
      </c>
      <c r="V103" s="106">
        <f t="shared" ref="V103:V122" si="66">U103*5</f>
        <v>393124.16399999999</v>
      </c>
      <c r="W103" s="154"/>
      <c r="X103" s="154"/>
      <c r="Y103" s="154"/>
    </row>
    <row r="104" spans="1:25" s="74" customFormat="1" ht="22.5" x14ac:dyDescent="0.2">
      <c r="A104" s="103">
        <v>88</v>
      </c>
      <c r="B104" s="104" t="s">
        <v>20</v>
      </c>
      <c r="C104" s="105">
        <v>4</v>
      </c>
      <c r="D104" s="105" t="s">
        <v>70</v>
      </c>
      <c r="E104" s="105">
        <v>1.2</v>
      </c>
      <c r="F104" s="122">
        <f t="shared" si="64"/>
        <v>48.859909730998375</v>
      </c>
      <c r="G104" s="106">
        <f>H104</f>
        <v>8119.0511999999999</v>
      </c>
      <c r="H104" s="106">
        <f>2379*1.8*1.58*E104</f>
        <v>8119.0511999999999</v>
      </c>
      <c r="I104" s="106">
        <f>H104*16/100</f>
        <v>1299.048192</v>
      </c>
      <c r="J104" s="261"/>
      <c r="K104" s="106">
        <v>0</v>
      </c>
      <c r="L104" s="108"/>
      <c r="M104" s="103"/>
      <c r="N104" s="103"/>
      <c r="O104" s="103"/>
      <c r="P104" s="107">
        <v>3287.05</v>
      </c>
      <c r="Q104" s="107">
        <v>849.1</v>
      </c>
      <c r="R104" s="103"/>
      <c r="S104" s="103"/>
      <c r="T104" s="106">
        <f>H104*[1]чернетка!I44/100</f>
        <v>405.95256000000001</v>
      </c>
      <c r="U104" s="106">
        <f t="shared" si="65"/>
        <v>55840.807807999998</v>
      </c>
      <c r="V104" s="106">
        <f t="shared" si="66"/>
        <v>279204.03904</v>
      </c>
      <c r="W104" s="154"/>
      <c r="X104" s="154"/>
      <c r="Y104" s="154"/>
    </row>
    <row r="105" spans="1:25" s="74" customFormat="1" ht="21.75" x14ac:dyDescent="0.2">
      <c r="A105" s="103">
        <v>89</v>
      </c>
      <c r="B105" s="99" t="s">
        <v>21</v>
      </c>
      <c r="C105" s="105"/>
      <c r="D105" s="105"/>
      <c r="E105" s="105"/>
      <c r="F105" s="122"/>
      <c r="G105" s="106"/>
      <c r="H105" s="106"/>
      <c r="I105" s="106"/>
      <c r="J105" s="261"/>
      <c r="K105" s="106"/>
      <c r="L105" s="108"/>
      <c r="M105" s="103"/>
      <c r="N105" s="103"/>
      <c r="O105" s="103"/>
      <c r="P105" s="103"/>
      <c r="Q105" s="103"/>
      <c r="R105" s="103"/>
      <c r="S105" s="103"/>
      <c r="T105" s="106"/>
      <c r="U105" s="106">
        <f t="shared" si="65"/>
        <v>0</v>
      </c>
      <c r="V105" s="106">
        <f t="shared" si="66"/>
        <v>0</v>
      </c>
      <c r="W105" s="154"/>
      <c r="X105" s="154"/>
      <c r="Y105" s="154"/>
    </row>
    <row r="106" spans="1:25" s="74" customFormat="1" ht="22.5" x14ac:dyDescent="0.2">
      <c r="A106" s="103">
        <v>90</v>
      </c>
      <c r="B106" s="104" t="s">
        <v>20</v>
      </c>
      <c r="C106" s="105">
        <v>6</v>
      </c>
      <c r="D106" s="105" t="s">
        <v>70</v>
      </c>
      <c r="E106" s="105">
        <v>1.2</v>
      </c>
      <c r="F106" s="122">
        <f t="shared" si="64"/>
        <v>48.859909730998375</v>
      </c>
      <c r="G106" s="106">
        <f>H106</f>
        <v>8119.0511999999999</v>
      </c>
      <c r="H106" s="106">
        <f>2379*1.8*1.58*E106</f>
        <v>8119.0511999999999</v>
      </c>
      <c r="I106" s="106">
        <f>H106*22/100</f>
        <v>1786.191264</v>
      </c>
      <c r="J106" s="261"/>
      <c r="K106" s="106">
        <v>0</v>
      </c>
      <c r="L106" s="108"/>
      <c r="M106" s="103"/>
      <c r="N106" s="103"/>
      <c r="O106" s="103"/>
      <c r="P106" s="107">
        <v>4437.5200000000004</v>
      </c>
      <c r="Q106" s="107">
        <v>1146.29</v>
      </c>
      <c r="R106" s="103"/>
      <c r="S106" s="103"/>
      <c r="T106" s="106">
        <f>H106*[1]чернетка!I45/100</f>
        <v>405.95256000000001</v>
      </c>
      <c r="U106" s="106">
        <f t="shared" si="65"/>
        <v>95370.030144000004</v>
      </c>
      <c r="V106" s="106">
        <f t="shared" si="66"/>
        <v>476850.15072000003</v>
      </c>
      <c r="W106" s="154"/>
      <c r="X106" s="154"/>
      <c r="Y106" s="154"/>
    </row>
    <row r="107" spans="1:25" s="74" customFormat="1" ht="22.5" x14ac:dyDescent="0.2">
      <c r="A107" s="103">
        <v>91</v>
      </c>
      <c r="B107" s="104" t="s">
        <v>20</v>
      </c>
      <c r="C107" s="105">
        <v>4</v>
      </c>
      <c r="D107" s="105" t="s">
        <v>138</v>
      </c>
      <c r="E107" s="105">
        <v>1.08</v>
      </c>
      <c r="F107" s="122">
        <f t="shared" si="64"/>
        <v>43.973918757898545</v>
      </c>
      <c r="G107" s="106">
        <f>H107</f>
        <v>7307.1460800000004</v>
      </c>
      <c r="H107" s="106">
        <f>2379*1.8*1.58*E107</f>
        <v>7307.1460800000004</v>
      </c>
      <c r="I107" s="106">
        <f>H107*16/100</f>
        <v>1169.1433728000002</v>
      </c>
      <c r="J107" s="261"/>
      <c r="K107" s="106">
        <v>0</v>
      </c>
      <c r="L107" s="108"/>
      <c r="M107" s="103"/>
      <c r="N107" s="103"/>
      <c r="O107" s="103"/>
      <c r="P107" s="107">
        <v>2662.65</v>
      </c>
      <c r="Q107" s="107">
        <v>687.81</v>
      </c>
      <c r="R107" s="103"/>
      <c r="S107" s="103"/>
      <c r="T107" s="106">
        <f>H107*[1]чернетка!I46/100</f>
        <v>365.357304</v>
      </c>
      <c r="U107" s="106">
        <f t="shared" si="65"/>
        <v>48768.427027199992</v>
      </c>
      <c r="V107" s="106">
        <f t="shared" si="66"/>
        <v>243842.13513599997</v>
      </c>
      <c r="W107" s="154"/>
      <c r="X107" s="154"/>
      <c r="Y107" s="154"/>
    </row>
    <row r="108" spans="1:25" s="74" customFormat="1" ht="21.75" x14ac:dyDescent="0.2">
      <c r="A108" s="103">
        <v>92</v>
      </c>
      <c r="B108" s="99" t="s">
        <v>255</v>
      </c>
      <c r="C108" s="105"/>
      <c r="D108" s="105"/>
      <c r="E108" s="105"/>
      <c r="F108" s="122"/>
      <c r="G108" s="106"/>
      <c r="H108" s="106"/>
      <c r="I108" s="106"/>
      <c r="J108" s="261"/>
      <c r="K108" s="106"/>
      <c r="L108" s="108"/>
      <c r="M108" s="103"/>
      <c r="N108" s="103"/>
      <c r="O108" s="103"/>
      <c r="P108" s="103"/>
      <c r="Q108" s="103"/>
      <c r="R108" s="103"/>
      <c r="S108" s="103"/>
      <c r="T108" s="106"/>
      <c r="U108" s="106">
        <f t="shared" si="65"/>
        <v>0</v>
      </c>
      <c r="V108" s="106">
        <f t="shared" si="66"/>
        <v>0</v>
      </c>
      <c r="W108" s="154"/>
      <c r="X108" s="154"/>
      <c r="Y108" s="154"/>
    </row>
    <row r="109" spans="1:25" s="74" customFormat="1" ht="22.5" x14ac:dyDescent="0.2">
      <c r="A109" s="103">
        <v>93</v>
      </c>
      <c r="B109" s="104" t="s">
        <v>20</v>
      </c>
      <c r="C109" s="105">
        <v>1</v>
      </c>
      <c r="D109" s="105" t="s">
        <v>70</v>
      </c>
      <c r="E109" s="105">
        <v>1.2</v>
      </c>
      <c r="F109" s="122">
        <f t="shared" si="64"/>
        <v>48.859909730998375</v>
      </c>
      <c r="G109" s="106">
        <f>H109</f>
        <v>8119.0511999999999</v>
      </c>
      <c r="H109" s="106">
        <f>2379*1.8*1.58*E109</f>
        <v>8119.0511999999999</v>
      </c>
      <c r="I109" s="106">
        <f>H109*4/100</f>
        <v>324.76204799999999</v>
      </c>
      <c r="J109" s="261"/>
      <c r="K109" s="106">
        <v>0</v>
      </c>
      <c r="L109" s="108"/>
      <c r="M109" s="103"/>
      <c r="N109" s="103"/>
      <c r="O109" s="103"/>
      <c r="P109" s="107">
        <v>924.48</v>
      </c>
      <c r="Q109" s="107">
        <v>238.81</v>
      </c>
      <c r="R109" s="103"/>
      <c r="S109" s="103"/>
      <c r="T109" s="106">
        <f>H109*[1]чернетка!I47/100</f>
        <v>405.95256000000001</v>
      </c>
      <c r="U109" s="106">
        <f t="shared" si="65"/>
        <v>10013.055807999999</v>
      </c>
      <c r="V109" s="106">
        <f t="shared" si="66"/>
        <v>50065.279039999994</v>
      </c>
      <c r="W109" s="154"/>
      <c r="X109" s="154"/>
      <c r="Y109" s="154"/>
    </row>
    <row r="110" spans="1:25" s="74" customFormat="1" ht="22.5" x14ac:dyDescent="0.2">
      <c r="A110" s="103">
        <v>94</v>
      </c>
      <c r="B110" s="104" t="s">
        <v>27</v>
      </c>
      <c r="C110" s="105">
        <v>2</v>
      </c>
      <c r="D110" s="105" t="s">
        <v>123</v>
      </c>
      <c r="E110" s="105">
        <v>1.54</v>
      </c>
      <c r="F110" s="122">
        <f t="shared" si="64"/>
        <v>62.703550821447926</v>
      </c>
      <c r="G110" s="106">
        <f t="shared" ref="G110:G112" si="67">H110</f>
        <v>10419.449040000001</v>
      </c>
      <c r="H110" s="106">
        <f>2379*1.8*1.58*E110</f>
        <v>10419.449040000001</v>
      </c>
      <c r="I110" s="106">
        <f>H110*5/100</f>
        <v>520.97245200000009</v>
      </c>
      <c r="J110" s="261"/>
      <c r="K110" s="106"/>
      <c r="L110" s="108"/>
      <c r="M110" s="103"/>
      <c r="N110" s="103"/>
      <c r="O110" s="103"/>
      <c r="P110" s="107"/>
      <c r="Q110" s="107"/>
      <c r="R110" s="103"/>
      <c r="S110" s="103"/>
      <c r="T110" s="106">
        <f>H110*[1]чернетка!I48/100</f>
        <v>520.97245200000009</v>
      </c>
      <c r="U110" s="106">
        <f t="shared" si="65"/>
        <v>22922.787888000003</v>
      </c>
      <c r="V110" s="106">
        <f t="shared" si="66"/>
        <v>114613.93944000002</v>
      </c>
      <c r="W110" s="154"/>
      <c r="X110" s="154"/>
      <c r="Y110" s="154"/>
    </row>
    <row r="111" spans="1:25" s="74" customFormat="1" ht="22.5" x14ac:dyDescent="0.2">
      <c r="A111" s="103">
        <v>95</v>
      </c>
      <c r="B111" s="104" t="s">
        <v>27</v>
      </c>
      <c r="C111" s="105">
        <v>2</v>
      </c>
      <c r="D111" s="105" t="s">
        <v>115</v>
      </c>
      <c r="E111" s="105">
        <v>1.35</v>
      </c>
      <c r="F111" s="122">
        <f t="shared" si="64"/>
        <v>54.967398447373178</v>
      </c>
      <c r="G111" s="106">
        <f t="shared" si="67"/>
        <v>9133.9326000000001</v>
      </c>
      <c r="H111" s="106">
        <f t="shared" ref="H111:H112" si="68">2379*1.8*1.58*E111</f>
        <v>9133.9326000000001</v>
      </c>
      <c r="I111" s="106">
        <f t="shared" ref="I111:I112" si="69">H111*5/100</f>
        <v>456.69663000000003</v>
      </c>
      <c r="J111" s="261"/>
      <c r="K111" s="106"/>
      <c r="L111" s="108"/>
      <c r="M111" s="103"/>
      <c r="N111" s="103"/>
      <c r="O111" s="103"/>
      <c r="P111" s="107"/>
      <c r="Q111" s="107"/>
      <c r="R111" s="103"/>
      <c r="S111" s="103"/>
      <c r="T111" s="106">
        <f>H111*[1]чернетка!I49/100</f>
        <v>456.69663000000003</v>
      </c>
      <c r="U111" s="106">
        <f t="shared" si="65"/>
        <v>20094.651720000002</v>
      </c>
      <c r="V111" s="106">
        <f t="shared" si="66"/>
        <v>100473.2586</v>
      </c>
      <c r="W111" s="154"/>
      <c r="X111" s="154"/>
      <c r="Y111" s="154"/>
    </row>
    <row r="112" spans="1:25" s="74" customFormat="1" ht="22.5" x14ac:dyDescent="0.2">
      <c r="A112" s="103">
        <v>96</v>
      </c>
      <c r="B112" s="104" t="s">
        <v>27</v>
      </c>
      <c r="C112" s="105">
        <v>1</v>
      </c>
      <c r="D112" s="105" t="s">
        <v>70</v>
      </c>
      <c r="E112" s="105">
        <v>1.2</v>
      </c>
      <c r="F112" s="122">
        <f t="shared" si="64"/>
        <v>48.859909730998375</v>
      </c>
      <c r="G112" s="106">
        <f t="shared" si="67"/>
        <v>8119.0511999999999</v>
      </c>
      <c r="H112" s="106">
        <f t="shared" si="68"/>
        <v>8119.0511999999999</v>
      </c>
      <c r="I112" s="106">
        <f t="shared" si="69"/>
        <v>405.95256000000001</v>
      </c>
      <c r="J112" s="261"/>
      <c r="K112" s="106"/>
      <c r="L112" s="108"/>
      <c r="M112" s="103"/>
      <c r="N112" s="103"/>
      <c r="O112" s="103"/>
      <c r="P112" s="107"/>
      <c r="Q112" s="107"/>
      <c r="R112" s="103"/>
      <c r="S112" s="103"/>
      <c r="T112" s="106">
        <f>H112*[1]чернетка!I50/100</f>
        <v>405.95256000000001</v>
      </c>
      <c r="U112" s="106">
        <f t="shared" si="65"/>
        <v>8930.9563199999993</v>
      </c>
      <c r="V112" s="106">
        <f t="shared" si="66"/>
        <v>44654.781599999995</v>
      </c>
      <c r="W112" s="154"/>
      <c r="X112" s="154"/>
      <c r="Y112" s="154"/>
    </row>
    <row r="113" spans="1:25" s="142" customFormat="1" ht="21.75" x14ac:dyDescent="0.2">
      <c r="A113" s="103">
        <v>97</v>
      </c>
      <c r="B113" s="99" t="s">
        <v>23</v>
      </c>
      <c r="C113" s="105"/>
      <c r="D113" s="105"/>
      <c r="E113" s="105"/>
      <c r="F113" s="122"/>
      <c r="G113" s="106"/>
      <c r="H113" s="106"/>
      <c r="I113" s="106"/>
      <c r="J113" s="261"/>
      <c r="K113" s="106"/>
      <c r="L113" s="108"/>
      <c r="M113" s="103"/>
      <c r="N113" s="103"/>
      <c r="O113" s="103"/>
      <c r="P113" s="103"/>
      <c r="Q113" s="103"/>
      <c r="R113" s="103"/>
      <c r="S113" s="103"/>
      <c r="T113" s="106"/>
      <c r="U113" s="106">
        <f t="shared" si="65"/>
        <v>0</v>
      </c>
      <c r="V113" s="106"/>
      <c r="W113" s="154"/>
      <c r="X113" s="150"/>
      <c r="Y113" s="150"/>
    </row>
    <row r="114" spans="1:25" s="74" customFormat="1" ht="11.25" x14ac:dyDescent="0.2">
      <c r="A114" s="103">
        <v>98</v>
      </c>
      <c r="B114" s="104" t="s">
        <v>24</v>
      </c>
      <c r="C114" s="105">
        <v>5</v>
      </c>
      <c r="D114" s="105" t="s">
        <v>70</v>
      </c>
      <c r="E114" s="105">
        <v>1.2</v>
      </c>
      <c r="F114" s="122">
        <f t="shared" ref="F114:F119" si="70">H114/166.17</f>
        <v>48.859909730998375</v>
      </c>
      <c r="G114" s="106">
        <f>H114</f>
        <v>8119.0511999999999</v>
      </c>
      <c r="H114" s="106">
        <f>2379*1.8*1.58*E114</f>
        <v>8119.0511999999999</v>
      </c>
      <c r="I114" s="106">
        <f>H114*20/100</f>
        <v>1623.81024</v>
      </c>
      <c r="J114" s="261"/>
      <c r="K114" s="106">
        <v>0</v>
      </c>
      <c r="L114" s="108"/>
      <c r="M114" s="103"/>
      <c r="N114" s="103"/>
      <c r="O114" s="103"/>
      <c r="P114" s="107">
        <v>3697.94</v>
      </c>
      <c r="Q114" s="107">
        <v>955.24</v>
      </c>
      <c r="R114" s="103"/>
      <c r="S114" s="103"/>
      <c r="T114" s="106">
        <f>H114*[1]чернетка!I51/100</f>
        <v>405.95256000000001</v>
      </c>
      <c r="U114" s="106">
        <f t="shared" si="65"/>
        <v>74009.97</v>
      </c>
      <c r="V114" s="106">
        <f t="shared" si="66"/>
        <v>370049.85</v>
      </c>
      <c r="W114" s="154"/>
      <c r="X114" s="154"/>
      <c r="Y114" s="154"/>
    </row>
    <row r="115" spans="1:25" s="74" customFormat="1" ht="22.5" x14ac:dyDescent="0.2">
      <c r="A115" s="103">
        <v>99</v>
      </c>
      <c r="B115" s="104" t="s">
        <v>25</v>
      </c>
      <c r="C115" s="105">
        <v>4</v>
      </c>
      <c r="D115" s="105" t="s">
        <v>70</v>
      </c>
      <c r="E115" s="105">
        <v>1.2</v>
      </c>
      <c r="F115" s="122">
        <f t="shared" si="70"/>
        <v>48.859909730998375</v>
      </c>
      <c r="G115" s="106">
        <f t="shared" ref="G115:G119" si="71">H115</f>
        <v>8119.0511999999999</v>
      </c>
      <c r="H115" s="106">
        <f t="shared" ref="H115:H119" si="72">2379*1.8*1.58*E115</f>
        <v>8119.0511999999999</v>
      </c>
      <c r="I115" s="106">
        <f>H115*16/100</f>
        <v>1299.048192</v>
      </c>
      <c r="J115" s="261"/>
      <c r="K115" s="106">
        <v>0</v>
      </c>
      <c r="L115" s="108"/>
      <c r="M115" s="103"/>
      <c r="N115" s="103"/>
      <c r="O115" s="103"/>
      <c r="P115" s="107"/>
      <c r="Q115" s="107">
        <v>955.24</v>
      </c>
      <c r="R115" s="103"/>
      <c r="S115" s="103"/>
      <c r="T115" s="106">
        <f>H115*[1]чернетка!I52/100</f>
        <v>405.95256000000001</v>
      </c>
      <c r="U115" s="106">
        <f t="shared" si="65"/>
        <v>43117.167807999998</v>
      </c>
      <c r="V115" s="106">
        <f t="shared" si="66"/>
        <v>215585.83903999999</v>
      </c>
      <c r="W115" s="154"/>
      <c r="X115" s="154"/>
      <c r="Y115" s="154"/>
    </row>
    <row r="116" spans="1:25" s="74" customFormat="1" ht="11.25" x14ac:dyDescent="0.2">
      <c r="A116" s="103">
        <v>100</v>
      </c>
      <c r="B116" s="104" t="s">
        <v>26</v>
      </c>
      <c r="C116" s="105">
        <v>1</v>
      </c>
      <c r="D116" s="105" t="s">
        <v>115</v>
      </c>
      <c r="E116" s="105">
        <v>1.35</v>
      </c>
      <c r="F116" s="122">
        <f t="shared" si="70"/>
        <v>54.967398447373178</v>
      </c>
      <c r="G116" s="106">
        <f t="shared" si="71"/>
        <v>9133.9326000000001</v>
      </c>
      <c r="H116" s="106">
        <f t="shared" si="72"/>
        <v>9133.9326000000001</v>
      </c>
      <c r="I116" s="106">
        <f>H116*4/100</f>
        <v>365.357304</v>
      </c>
      <c r="J116" s="261"/>
      <c r="K116" s="106">
        <v>0</v>
      </c>
      <c r="L116" s="108"/>
      <c r="M116" s="103"/>
      <c r="N116" s="103"/>
      <c r="O116" s="103"/>
      <c r="P116" s="103"/>
      <c r="Q116" s="103"/>
      <c r="R116" s="103"/>
      <c r="S116" s="103"/>
      <c r="T116" s="106">
        <f>H116*[1]чернетка!I53/100</f>
        <v>456.69663000000003</v>
      </c>
      <c r="U116" s="106">
        <f t="shared" si="65"/>
        <v>9955.9865339999997</v>
      </c>
      <c r="V116" s="106">
        <f t="shared" si="66"/>
        <v>49779.932669999995</v>
      </c>
      <c r="W116" s="154"/>
      <c r="X116" s="154"/>
      <c r="Y116" s="154"/>
    </row>
    <row r="117" spans="1:25" s="74" customFormat="1" ht="22.5" x14ac:dyDescent="0.2">
      <c r="A117" s="103">
        <v>101</v>
      </c>
      <c r="B117" s="104" t="s">
        <v>27</v>
      </c>
      <c r="C117" s="105">
        <v>4</v>
      </c>
      <c r="D117" s="105" t="s">
        <v>123</v>
      </c>
      <c r="E117" s="105">
        <v>1.54</v>
      </c>
      <c r="F117" s="122">
        <f t="shared" si="70"/>
        <v>62.703550821447926</v>
      </c>
      <c r="G117" s="106">
        <f t="shared" si="71"/>
        <v>10419.449040000001</v>
      </c>
      <c r="H117" s="106">
        <f t="shared" si="72"/>
        <v>10419.449040000001</v>
      </c>
      <c r="I117" s="106">
        <f>H117*16/100</f>
        <v>1667.1118464000001</v>
      </c>
      <c r="J117" s="261"/>
      <c r="K117" s="106">
        <v>0</v>
      </c>
      <c r="L117" s="108"/>
      <c r="M117" s="103"/>
      <c r="N117" s="103"/>
      <c r="O117" s="103"/>
      <c r="P117" s="103"/>
      <c r="Q117" s="103"/>
      <c r="R117" s="103"/>
      <c r="S117" s="103"/>
      <c r="T117" s="106">
        <f>H117*[1]чернетка!I54/100</f>
        <v>520.97245200000009</v>
      </c>
      <c r="U117" s="106">
        <f t="shared" si="65"/>
        <v>50430.133353600009</v>
      </c>
      <c r="V117" s="106">
        <f t="shared" si="66"/>
        <v>252150.66676800005</v>
      </c>
      <c r="W117" s="154"/>
      <c r="X117" s="154"/>
      <c r="Y117" s="154"/>
    </row>
    <row r="118" spans="1:25" s="74" customFormat="1" ht="11.25" x14ac:dyDescent="0.2">
      <c r="A118" s="103">
        <v>102</v>
      </c>
      <c r="B118" s="104" t="s">
        <v>29</v>
      </c>
      <c r="C118" s="105">
        <v>1</v>
      </c>
      <c r="D118" s="105" t="s">
        <v>123</v>
      </c>
      <c r="E118" s="105">
        <v>1.54</v>
      </c>
      <c r="F118" s="122">
        <f t="shared" si="70"/>
        <v>62.703550821447926</v>
      </c>
      <c r="G118" s="106">
        <f t="shared" si="71"/>
        <v>10419.449040000001</v>
      </c>
      <c r="H118" s="106">
        <f t="shared" si="72"/>
        <v>10419.449040000001</v>
      </c>
      <c r="I118" s="106">
        <f>H118*8/100</f>
        <v>833.55592320000005</v>
      </c>
      <c r="J118" s="261"/>
      <c r="K118" s="106">
        <v>0</v>
      </c>
      <c r="L118" s="108"/>
      <c r="M118" s="103"/>
      <c r="N118" s="103"/>
      <c r="O118" s="103"/>
      <c r="P118" s="103"/>
      <c r="Q118" s="103"/>
      <c r="R118" s="103"/>
      <c r="S118" s="103"/>
      <c r="T118" s="106">
        <f>H118*[1]чернетка!I55/100</f>
        <v>520.97245200000009</v>
      </c>
      <c r="U118" s="106">
        <f t="shared" si="65"/>
        <v>11773.977415200001</v>
      </c>
      <c r="V118" s="106">
        <f t="shared" si="66"/>
        <v>58869.887076000006</v>
      </c>
      <c r="W118" s="154"/>
      <c r="X118" s="154"/>
      <c r="Y118" s="154"/>
    </row>
    <row r="119" spans="1:25" s="74" customFormat="1" ht="11.25" x14ac:dyDescent="0.2">
      <c r="A119" s="103">
        <v>103</v>
      </c>
      <c r="B119" s="104" t="s">
        <v>30</v>
      </c>
      <c r="C119" s="105">
        <v>1</v>
      </c>
      <c r="D119" s="105" t="s">
        <v>139</v>
      </c>
      <c r="E119" s="105">
        <v>1.8</v>
      </c>
      <c r="F119" s="122">
        <f t="shared" si="70"/>
        <v>73.289864596497566</v>
      </c>
      <c r="G119" s="106">
        <f t="shared" si="71"/>
        <v>12178.576800000001</v>
      </c>
      <c r="H119" s="106">
        <f t="shared" si="72"/>
        <v>12178.576800000001</v>
      </c>
      <c r="I119" s="106">
        <f t="shared" ref="I119" si="73">H119*4/100</f>
        <v>487.14307200000002</v>
      </c>
      <c r="J119" s="261"/>
      <c r="K119" s="106">
        <v>0</v>
      </c>
      <c r="L119" s="108"/>
      <c r="M119" s="103"/>
      <c r="N119" s="103"/>
      <c r="O119" s="103"/>
      <c r="P119" s="103"/>
      <c r="Q119" s="103"/>
      <c r="R119" s="103"/>
      <c r="S119" s="103"/>
      <c r="T119" s="106">
        <f>H119*[1]чернетка!I56/100</f>
        <v>608.92884000000004</v>
      </c>
      <c r="U119" s="106">
        <f t="shared" si="65"/>
        <v>13274.648712000002</v>
      </c>
      <c r="V119" s="106">
        <f t="shared" si="66"/>
        <v>66373.243560000003</v>
      </c>
      <c r="W119" s="154"/>
      <c r="X119" s="154"/>
      <c r="Y119" s="154"/>
    </row>
    <row r="120" spans="1:25" s="142" customFormat="1" ht="32.25" x14ac:dyDescent="0.2">
      <c r="A120" s="103">
        <v>104</v>
      </c>
      <c r="B120" s="99" t="s">
        <v>140</v>
      </c>
      <c r="C120" s="105"/>
      <c r="D120" s="105"/>
      <c r="E120" s="105"/>
      <c r="F120" s="105"/>
      <c r="G120" s="106"/>
      <c r="H120" s="106"/>
      <c r="I120" s="106"/>
      <c r="J120" s="261"/>
      <c r="K120" s="106"/>
      <c r="L120" s="108"/>
      <c r="M120" s="103"/>
      <c r="N120" s="103"/>
      <c r="O120" s="103"/>
      <c r="P120" s="103"/>
      <c r="Q120" s="103"/>
      <c r="R120" s="103"/>
      <c r="S120" s="103"/>
      <c r="T120" s="106"/>
      <c r="U120" s="106">
        <f t="shared" si="65"/>
        <v>0</v>
      </c>
      <c r="V120" s="106">
        <f t="shared" si="66"/>
        <v>0</v>
      </c>
      <c r="W120" s="154"/>
      <c r="X120" s="150"/>
      <c r="Y120" s="150"/>
    </row>
    <row r="121" spans="1:25" s="74" customFormat="1" ht="11.25" x14ac:dyDescent="0.2">
      <c r="A121" s="103">
        <v>105</v>
      </c>
      <c r="B121" s="104" t="s">
        <v>31</v>
      </c>
      <c r="C121" s="105">
        <v>1</v>
      </c>
      <c r="D121" s="105">
        <v>1.26</v>
      </c>
      <c r="E121" s="105"/>
      <c r="F121" s="105"/>
      <c r="G121" s="106">
        <f>H121</f>
        <v>5395.5720000000001</v>
      </c>
      <c r="H121" s="106">
        <f>2379*1.8*D121</f>
        <v>5395.5720000000001</v>
      </c>
      <c r="I121" s="106"/>
      <c r="J121" s="261"/>
      <c r="K121" s="106">
        <v>0</v>
      </c>
      <c r="L121" s="108"/>
      <c r="M121" s="103"/>
      <c r="N121" s="103"/>
      <c r="O121" s="103"/>
      <c r="P121" s="103"/>
      <c r="Q121" s="103"/>
      <c r="R121" s="103"/>
      <c r="S121" s="107">
        <v>1204</v>
      </c>
      <c r="T121" s="106">
        <f>H121*[1]чернетка!I57/100</f>
        <v>269.77859999999998</v>
      </c>
      <c r="U121" s="106">
        <f>(H121+I121+P121+Q121+S121+T121)*C121</f>
        <v>6869.3505999999998</v>
      </c>
      <c r="V121" s="106">
        <f t="shared" si="66"/>
        <v>34346.752999999997</v>
      </c>
      <c r="W121" s="154"/>
      <c r="X121" s="154"/>
      <c r="Y121" s="154"/>
    </row>
    <row r="122" spans="1:25" s="74" customFormat="1" ht="22.5" x14ac:dyDescent="0.2">
      <c r="A122" s="103">
        <v>106</v>
      </c>
      <c r="B122" s="104" t="s">
        <v>32</v>
      </c>
      <c r="C122" s="105">
        <v>1</v>
      </c>
      <c r="D122" s="105">
        <v>1.2</v>
      </c>
      <c r="E122" s="105"/>
      <c r="F122" s="105"/>
      <c r="G122" s="106">
        <f t="shared" ref="G122:G124" si="74">H122</f>
        <v>5138.6399999999994</v>
      </c>
      <c r="H122" s="106">
        <f>2379*1.8*D122</f>
        <v>5138.6399999999994</v>
      </c>
      <c r="I122" s="106">
        <f>H122*4/100</f>
        <v>205.54559999999998</v>
      </c>
      <c r="J122" s="261"/>
      <c r="K122" s="106">
        <v>0</v>
      </c>
      <c r="L122" s="108"/>
      <c r="M122" s="103"/>
      <c r="N122" s="103"/>
      <c r="O122" s="103"/>
      <c r="P122" s="103"/>
      <c r="Q122" s="103"/>
      <c r="R122" s="103"/>
      <c r="S122" s="107">
        <v>2003</v>
      </c>
      <c r="T122" s="106">
        <f>H122*[1]чернетка!I58/100</f>
        <v>256.93199999999996</v>
      </c>
      <c r="U122" s="106">
        <f>(H122+I122+P122+Q122+S122+T122)*C122</f>
        <v>7604.1175999999996</v>
      </c>
      <c r="V122" s="106">
        <f t="shared" si="66"/>
        <v>38020.587999999996</v>
      </c>
      <c r="W122" s="154"/>
      <c r="X122" s="154"/>
      <c r="Y122" s="154"/>
    </row>
    <row r="123" spans="1:25" s="141" customFormat="1" ht="22.5" x14ac:dyDescent="0.2">
      <c r="A123" s="103">
        <v>107</v>
      </c>
      <c r="B123" s="113" t="s">
        <v>141</v>
      </c>
      <c r="C123" s="117">
        <v>38</v>
      </c>
      <c r="D123" s="117"/>
      <c r="E123" s="117"/>
      <c r="F123" s="118"/>
      <c r="G123" s="106">
        <f t="shared" si="74"/>
        <v>136379.50560000003</v>
      </c>
      <c r="H123" s="119">
        <f>SUM(H103:H122)</f>
        <v>136379.50560000003</v>
      </c>
      <c r="I123" s="119">
        <f t="shared" ref="I123:V123" si="75">SUM(I103:I122)</f>
        <v>14068.148936399999</v>
      </c>
      <c r="J123" s="119">
        <f t="shared" si="75"/>
        <v>0</v>
      </c>
      <c r="K123" s="119">
        <f t="shared" si="75"/>
        <v>0</v>
      </c>
      <c r="L123" s="119">
        <f t="shared" si="75"/>
        <v>0</v>
      </c>
      <c r="M123" s="119">
        <f t="shared" si="75"/>
        <v>0</v>
      </c>
      <c r="N123" s="119">
        <f t="shared" si="75"/>
        <v>0</v>
      </c>
      <c r="O123" s="119">
        <f t="shared" si="75"/>
        <v>0</v>
      </c>
      <c r="P123" s="119">
        <f t="shared" si="75"/>
        <v>19118.46</v>
      </c>
      <c r="Q123" s="119">
        <f t="shared" si="75"/>
        <v>5893.87</v>
      </c>
      <c r="R123" s="119">
        <f t="shared" si="75"/>
        <v>0</v>
      </c>
      <c r="S123" s="119">
        <f t="shared" si="75"/>
        <v>3207</v>
      </c>
      <c r="T123" s="119">
        <f t="shared" si="75"/>
        <v>7224.9278399999994</v>
      </c>
      <c r="U123" s="119">
        <f t="shared" si="75"/>
        <v>557600.90153800009</v>
      </c>
      <c r="V123" s="119">
        <f t="shared" si="75"/>
        <v>2788004.5076900003</v>
      </c>
      <c r="W123" s="154"/>
      <c r="X123" s="152"/>
      <c r="Y123" s="152"/>
    </row>
    <row r="124" spans="1:25" s="153" customFormat="1" ht="22.5" x14ac:dyDescent="0.2">
      <c r="A124" s="103">
        <v>108</v>
      </c>
      <c r="B124" s="113" t="s">
        <v>33</v>
      </c>
      <c r="C124" s="114">
        <v>42.5</v>
      </c>
      <c r="D124" s="114"/>
      <c r="E124" s="114"/>
      <c r="F124" s="114"/>
      <c r="G124" s="119">
        <f t="shared" si="74"/>
        <v>188476.75080000004</v>
      </c>
      <c r="H124" s="119">
        <f>H123+H101</f>
        <v>188476.75080000004</v>
      </c>
      <c r="I124" s="119">
        <f t="shared" ref="I124:V124" si="76">I123+I101</f>
        <v>14068.148936399999</v>
      </c>
      <c r="J124" s="119">
        <f t="shared" si="76"/>
        <v>0</v>
      </c>
      <c r="K124" s="119">
        <f t="shared" si="76"/>
        <v>0</v>
      </c>
      <c r="L124" s="119">
        <f t="shared" si="76"/>
        <v>0</v>
      </c>
      <c r="M124" s="119">
        <f t="shared" si="76"/>
        <v>0</v>
      </c>
      <c r="N124" s="119">
        <f t="shared" si="76"/>
        <v>0</v>
      </c>
      <c r="O124" s="119">
        <f t="shared" si="76"/>
        <v>0</v>
      </c>
      <c r="P124" s="119">
        <f t="shared" si="76"/>
        <v>19118.46</v>
      </c>
      <c r="Q124" s="119">
        <f t="shared" si="76"/>
        <v>6371.51</v>
      </c>
      <c r="R124" s="119">
        <f t="shared" si="76"/>
        <v>0</v>
      </c>
      <c r="S124" s="119">
        <f t="shared" si="76"/>
        <v>3207</v>
      </c>
      <c r="T124" s="119">
        <f t="shared" si="76"/>
        <v>11250.624059999998</v>
      </c>
      <c r="U124" s="119">
        <f t="shared" si="76"/>
        <v>621428.08426800009</v>
      </c>
      <c r="V124" s="119">
        <f t="shared" si="76"/>
        <v>3107140.4213400004</v>
      </c>
      <c r="W124" s="154"/>
      <c r="X124" s="152"/>
      <c r="Y124" s="152"/>
    </row>
    <row r="125" spans="1:25" s="74" customFormat="1" ht="19.5" customHeight="1" x14ac:dyDescent="0.2">
      <c r="A125" s="103">
        <v>109</v>
      </c>
      <c r="B125" s="686" t="s">
        <v>267</v>
      </c>
      <c r="C125" s="686"/>
      <c r="D125" s="686"/>
      <c r="E125" s="686"/>
      <c r="F125" s="686"/>
      <c r="G125" s="686"/>
      <c r="H125" s="686"/>
      <c r="I125" s="686"/>
      <c r="J125" s="103"/>
      <c r="K125" s="108"/>
      <c r="L125" s="108"/>
      <c r="M125" s="103"/>
      <c r="N125" s="103"/>
      <c r="O125" s="103"/>
      <c r="P125" s="103"/>
      <c r="Q125" s="103"/>
      <c r="R125" s="103"/>
      <c r="S125" s="103"/>
      <c r="T125" s="106"/>
      <c r="U125" s="108"/>
      <c r="V125" s="106"/>
      <c r="W125" s="154"/>
      <c r="X125" s="154"/>
      <c r="Y125" s="154"/>
    </row>
    <row r="126" spans="1:25" s="142" customFormat="1" ht="32.25" x14ac:dyDescent="0.2">
      <c r="A126" s="103">
        <v>110</v>
      </c>
      <c r="B126" s="99" t="s">
        <v>65</v>
      </c>
      <c r="C126" s="105"/>
      <c r="D126" s="105"/>
      <c r="E126" s="105"/>
      <c r="F126" s="105"/>
      <c r="G126" s="106"/>
      <c r="H126" s="106"/>
      <c r="I126" s="106"/>
      <c r="J126" s="103"/>
      <c r="K126" s="108"/>
      <c r="L126" s="108"/>
      <c r="M126" s="103"/>
      <c r="N126" s="103"/>
      <c r="O126" s="103"/>
      <c r="P126" s="103"/>
      <c r="Q126" s="103"/>
      <c r="R126" s="103"/>
      <c r="S126" s="103"/>
      <c r="T126" s="106"/>
      <c r="U126" s="108"/>
      <c r="V126" s="106"/>
      <c r="W126" s="154"/>
      <c r="X126" s="150"/>
      <c r="Y126" s="150"/>
    </row>
    <row r="127" spans="1:25" s="74" customFormat="1" ht="11.25" x14ac:dyDescent="0.2">
      <c r="A127" s="103">
        <v>111</v>
      </c>
      <c r="B127" s="104" t="s">
        <v>118</v>
      </c>
      <c r="C127" s="105">
        <v>1</v>
      </c>
      <c r="D127" s="105">
        <v>2.15</v>
      </c>
      <c r="E127" s="105"/>
      <c r="F127" s="105"/>
      <c r="G127" s="106">
        <f>H127</f>
        <v>14546.633400000001</v>
      </c>
      <c r="H127" s="106">
        <f t="shared" ref="H127:H128" si="77">2379*1.8*1.58*D127</f>
        <v>14546.633400000001</v>
      </c>
      <c r="I127" s="106"/>
      <c r="J127" s="261"/>
      <c r="K127" s="106">
        <v>0</v>
      </c>
      <c r="L127" s="108"/>
      <c r="M127" s="103"/>
      <c r="N127" s="103"/>
      <c r="O127" s="103"/>
      <c r="P127" s="103"/>
      <c r="Q127" s="103"/>
      <c r="R127" s="103"/>
      <c r="S127" s="103"/>
      <c r="T127" s="106">
        <f>H127*[1]чернетка!I110/100</f>
        <v>1454.6633400000001</v>
      </c>
      <c r="U127" s="106">
        <f>(H127+I127+P127+Q127+S127+T127)*C127</f>
        <v>16001.296740000002</v>
      </c>
      <c r="V127" s="106">
        <f t="shared" ref="V127:V128" si="78">U127*5</f>
        <v>80006.483700000012</v>
      </c>
      <c r="W127" s="154"/>
      <c r="X127" s="154"/>
      <c r="Y127" s="154"/>
    </row>
    <row r="128" spans="1:25" s="74" customFormat="1" ht="11.25" x14ac:dyDescent="0.2">
      <c r="A128" s="103">
        <v>112</v>
      </c>
      <c r="B128" s="104" t="s">
        <v>46</v>
      </c>
      <c r="C128" s="105">
        <v>1</v>
      </c>
      <c r="D128" s="105">
        <v>1.7</v>
      </c>
      <c r="E128" s="105"/>
      <c r="F128" s="105"/>
      <c r="G128" s="106">
        <f t="shared" ref="G128:G132" si="79">H128</f>
        <v>11501.9892</v>
      </c>
      <c r="H128" s="106">
        <f t="shared" si="77"/>
        <v>11501.9892</v>
      </c>
      <c r="I128" s="106"/>
      <c r="J128" s="261"/>
      <c r="K128" s="106">
        <v>0</v>
      </c>
      <c r="L128" s="108"/>
      <c r="M128" s="103"/>
      <c r="N128" s="103"/>
      <c r="O128" s="103"/>
      <c r="P128" s="103"/>
      <c r="Q128" s="103"/>
      <c r="R128" s="103"/>
      <c r="S128" s="103"/>
      <c r="T128" s="106">
        <f>H128*[1]чернетка!I111/100</f>
        <v>575.09945999999991</v>
      </c>
      <c r="U128" s="106">
        <f>(H128+I128+P128+Q128+S128+T128)*C128</f>
        <v>12077.088659999999</v>
      </c>
      <c r="V128" s="106">
        <f t="shared" si="78"/>
        <v>60385.443299999999</v>
      </c>
      <c r="W128" s="154"/>
      <c r="X128" s="154"/>
      <c r="Y128" s="154"/>
    </row>
    <row r="129" spans="1:25" s="150" customFormat="1" ht="45" x14ac:dyDescent="0.2">
      <c r="A129" s="103">
        <v>113</v>
      </c>
      <c r="B129" s="104" t="s">
        <v>143</v>
      </c>
      <c r="C129" s="105">
        <v>2</v>
      </c>
      <c r="D129" s="105"/>
      <c r="E129" s="105"/>
      <c r="F129" s="105"/>
      <c r="G129" s="106">
        <f t="shared" si="79"/>
        <v>26048.622600000002</v>
      </c>
      <c r="H129" s="106">
        <f>SUM(H127:H128)</f>
        <v>26048.622600000002</v>
      </c>
      <c r="I129" s="106">
        <f t="shared" ref="I129:V129" si="80">SUM(I127:I128)</f>
        <v>0</v>
      </c>
      <c r="J129" s="107">
        <f t="shared" si="80"/>
        <v>0</v>
      </c>
      <c r="K129" s="107">
        <f t="shared" si="80"/>
        <v>0</v>
      </c>
      <c r="L129" s="107">
        <f t="shared" si="80"/>
        <v>0</v>
      </c>
      <c r="M129" s="107">
        <f t="shared" si="80"/>
        <v>0</v>
      </c>
      <c r="N129" s="107">
        <f t="shared" si="80"/>
        <v>0</v>
      </c>
      <c r="O129" s="107">
        <f t="shared" si="80"/>
        <v>0</v>
      </c>
      <c r="P129" s="107">
        <f t="shared" si="80"/>
        <v>0</v>
      </c>
      <c r="Q129" s="107">
        <f t="shared" si="80"/>
        <v>0</v>
      </c>
      <c r="R129" s="107">
        <f t="shared" si="80"/>
        <v>0</v>
      </c>
      <c r="S129" s="107">
        <f t="shared" si="80"/>
        <v>0</v>
      </c>
      <c r="T129" s="106">
        <f t="shared" si="80"/>
        <v>2029.7628</v>
      </c>
      <c r="U129" s="106">
        <f t="shared" si="80"/>
        <v>28078.385399999999</v>
      </c>
      <c r="V129" s="106">
        <f t="shared" si="80"/>
        <v>140391.92700000003</v>
      </c>
      <c r="W129" s="154"/>
    </row>
    <row r="130" spans="1:25" s="74" customFormat="1" ht="22.5" x14ac:dyDescent="0.2">
      <c r="A130" s="103">
        <v>114</v>
      </c>
      <c r="B130" s="104" t="s">
        <v>47</v>
      </c>
      <c r="C130" s="105">
        <v>2</v>
      </c>
      <c r="D130" s="105" t="s">
        <v>70</v>
      </c>
      <c r="E130" s="105">
        <v>1.2</v>
      </c>
      <c r="F130" s="122">
        <f t="shared" ref="F130" si="81">H130/166.17</f>
        <v>48.859909730998375</v>
      </c>
      <c r="G130" s="106">
        <f t="shared" si="79"/>
        <v>8119.0511999999999</v>
      </c>
      <c r="H130" s="106">
        <f t="shared" ref="H130" si="82">2379*1.8*1.58*E130</f>
        <v>8119.0511999999999</v>
      </c>
      <c r="I130" s="106">
        <f>H130*8/100</f>
        <v>649.52409599999999</v>
      </c>
      <c r="J130" s="261"/>
      <c r="K130" s="106">
        <v>0</v>
      </c>
      <c r="L130" s="108"/>
      <c r="M130" s="103"/>
      <c r="N130" s="103"/>
      <c r="O130" s="103"/>
      <c r="P130" s="103"/>
      <c r="Q130" s="103"/>
      <c r="R130" s="103"/>
      <c r="S130" s="103"/>
      <c r="T130" s="106">
        <f>H130*[1]чернетка!I112/100</f>
        <v>405.95256000000001</v>
      </c>
      <c r="U130" s="106">
        <f>(H130+I130+P130+Q130+S130+T130)*C130</f>
        <v>18349.055711999998</v>
      </c>
      <c r="V130" s="106">
        <f t="shared" ref="V130" si="83">U130*5</f>
        <v>91745.278559999992</v>
      </c>
      <c r="W130" s="154"/>
      <c r="X130" s="154"/>
      <c r="Y130" s="154"/>
    </row>
    <row r="131" spans="1:25" s="142" customFormat="1" ht="45" x14ac:dyDescent="0.2">
      <c r="A131" s="103">
        <v>115</v>
      </c>
      <c r="B131" s="104" t="s">
        <v>144</v>
      </c>
      <c r="C131" s="105">
        <v>2</v>
      </c>
      <c r="D131" s="105"/>
      <c r="E131" s="105"/>
      <c r="F131" s="105"/>
      <c r="G131" s="106">
        <f t="shared" si="79"/>
        <v>8119.0511999999999</v>
      </c>
      <c r="H131" s="106">
        <f>SUM(H130)</f>
        <v>8119.0511999999999</v>
      </c>
      <c r="I131" s="106">
        <f t="shared" ref="I131:V131" si="84">SUM(I130)</f>
        <v>649.52409599999999</v>
      </c>
      <c r="J131" s="107">
        <f t="shared" si="84"/>
        <v>0</v>
      </c>
      <c r="K131" s="107">
        <f t="shared" si="84"/>
        <v>0</v>
      </c>
      <c r="L131" s="107">
        <f t="shared" si="84"/>
        <v>0</v>
      </c>
      <c r="M131" s="107">
        <f t="shared" si="84"/>
        <v>0</v>
      </c>
      <c r="N131" s="107">
        <f t="shared" si="84"/>
        <v>0</v>
      </c>
      <c r="O131" s="107">
        <f t="shared" si="84"/>
        <v>0</v>
      </c>
      <c r="P131" s="107">
        <f t="shared" si="84"/>
        <v>0</v>
      </c>
      <c r="Q131" s="107">
        <f t="shared" si="84"/>
        <v>0</v>
      </c>
      <c r="R131" s="107">
        <f t="shared" si="84"/>
        <v>0</v>
      </c>
      <c r="S131" s="107">
        <f t="shared" si="84"/>
        <v>0</v>
      </c>
      <c r="T131" s="106">
        <f t="shared" si="84"/>
        <v>405.95256000000001</v>
      </c>
      <c r="U131" s="106">
        <f t="shared" si="84"/>
        <v>18349.055711999998</v>
      </c>
      <c r="V131" s="106">
        <f t="shared" si="84"/>
        <v>91745.278559999992</v>
      </c>
      <c r="W131" s="154"/>
      <c r="X131" s="150"/>
      <c r="Y131" s="150"/>
    </row>
    <row r="132" spans="1:25" s="153" customFormat="1" ht="45" x14ac:dyDescent="0.2">
      <c r="A132" s="103">
        <v>116</v>
      </c>
      <c r="B132" s="113" t="s">
        <v>145</v>
      </c>
      <c r="C132" s="117">
        <v>4</v>
      </c>
      <c r="D132" s="117"/>
      <c r="E132" s="117"/>
      <c r="F132" s="117"/>
      <c r="G132" s="119">
        <f t="shared" si="79"/>
        <v>34167.673800000004</v>
      </c>
      <c r="H132" s="119">
        <f>H129+H131</f>
        <v>34167.673800000004</v>
      </c>
      <c r="I132" s="119">
        <f t="shared" ref="I132:V132" si="85">I129+I131</f>
        <v>649.52409599999999</v>
      </c>
      <c r="J132" s="125">
        <f t="shared" si="85"/>
        <v>0</v>
      </c>
      <c r="K132" s="125">
        <f t="shared" si="85"/>
        <v>0</v>
      </c>
      <c r="L132" s="125">
        <f t="shared" si="85"/>
        <v>0</v>
      </c>
      <c r="M132" s="125">
        <f t="shared" si="85"/>
        <v>0</v>
      </c>
      <c r="N132" s="125">
        <f t="shared" si="85"/>
        <v>0</v>
      </c>
      <c r="O132" s="125">
        <f t="shared" si="85"/>
        <v>0</v>
      </c>
      <c r="P132" s="125">
        <f t="shared" si="85"/>
        <v>0</v>
      </c>
      <c r="Q132" s="125">
        <f t="shared" si="85"/>
        <v>0</v>
      </c>
      <c r="R132" s="125">
        <f t="shared" si="85"/>
        <v>0</v>
      </c>
      <c r="S132" s="125">
        <f t="shared" si="85"/>
        <v>0</v>
      </c>
      <c r="T132" s="119">
        <f t="shared" si="85"/>
        <v>2435.7153600000001</v>
      </c>
      <c r="U132" s="119">
        <f t="shared" si="85"/>
        <v>46427.441112</v>
      </c>
      <c r="V132" s="119">
        <f t="shared" si="85"/>
        <v>232137.20556000003</v>
      </c>
      <c r="W132" s="154"/>
      <c r="X132" s="152"/>
      <c r="Y132" s="152"/>
    </row>
    <row r="133" spans="1:25" s="142" customFormat="1" ht="30.75" customHeight="1" x14ac:dyDescent="0.2">
      <c r="A133" s="103">
        <v>117</v>
      </c>
      <c r="B133" s="686" t="s">
        <v>146</v>
      </c>
      <c r="C133" s="686"/>
      <c r="D133" s="686"/>
      <c r="E133" s="105"/>
      <c r="F133" s="105"/>
      <c r="G133" s="106"/>
      <c r="H133" s="106"/>
      <c r="I133" s="106"/>
      <c r="J133" s="103"/>
      <c r="K133" s="108"/>
      <c r="L133" s="108"/>
      <c r="M133" s="103"/>
      <c r="N133" s="103"/>
      <c r="O133" s="103"/>
      <c r="P133" s="103"/>
      <c r="Q133" s="103"/>
      <c r="R133" s="103"/>
      <c r="S133" s="103"/>
      <c r="T133" s="106"/>
      <c r="U133" s="108"/>
      <c r="V133" s="106"/>
      <c r="W133" s="154"/>
      <c r="X133" s="150"/>
      <c r="Y133" s="150"/>
    </row>
    <row r="134" spans="1:25" s="74" customFormat="1" ht="11.25" x14ac:dyDescent="0.2">
      <c r="A134" s="103">
        <v>118</v>
      </c>
      <c r="B134" s="104" t="s">
        <v>18</v>
      </c>
      <c r="C134" s="105">
        <v>1</v>
      </c>
      <c r="D134" s="105">
        <v>2.4</v>
      </c>
      <c r="E134" s="105"/>
      <c r="F134" s="105"/>
      <c r="G134" s="106">
        <f>H134</f>
        <v>16238.1024</v>
      </c>
      <c r="H134" s="106">
        <f t="shared" ref="H134:H135" si="86">2379*1.8*1.58*D134</f>
        <v>16238.1024</v>
      </c>
      <c r="I134" s="106"/>
      <c r="J134" s="261"/>
      <c r="K134" s="106">
        <v>0</v>
      </c>
      <c r="L134" s="108"/>
      <c r="M134" s="103"/>
      <c r="N134" s="103"/>
      <c r="O134" s="103"/>
      <c r="P134" s="103"/>
      <c r="Q134" s="103"/>
      <c r="R134" s="103"/>
      <c r="S134" s="107"/>
      <c r="T134" s="106">
        <f>H134*[1]чернетка!I92/100</f>
        <v>1623.81024</v>
      </c>
      <c r="U134" s="106">
        <f>(H134+I134+P134+Q134+S134+T134)*C134</f>
        <v>17861.912639999999</v>
      </c>
      <c r="V134" s="106">
        <f t="shared" ref="V134:V135" si="87">U134*5</f>
        <v>89309.56319999999</v>
      </c>
      <c r="W134" s="154"/>
      <c r="X134" s="154"/>
      <c r="Y134" s="154"/>
    </row>
    <row r="135" spans="1:25" s="74" customFormat="1" ht="11.25" x14ac:dyDescent="0.2">
      <c r="A135" s="103">
        <v>119</v>
      </c>
      <c r="B135" s="104" t="s">
        <v>113</v>
      </c>
      <c r="C135" s="105">
        <v>2</v>
      </c>
      <c r="D135" s="105">
        <v>1.8</v>
      </c>
      <c r="E135" s="105"/>
      <c r="F135" s="105"/>
      <c r="G135" s="106">
        <f t="shared" ref="G135:G142" si="88">H135</f>
        <v>12178.576800000001</v>
      </c>
      <c r="H135" s="106">
        <f t="shared" si="86"/>
        <v>12178.576800000001</v>
      </c>
      <c r="I135" s="106"/>
      <c r="J135" s="261"/>
      <c r="K135" s="106">
        <v>0</v>
      </c>
      <c r="L135" s="108"/>
      <c r="M135" s="103"/>
      <c r="N135" s="103"/>
      <c r="O135" s="103"/>
      <c r="P135" s="103"/>
      <c r="Q135" s="107">
        <v>477.64</v>
      </c>
      <c r="R135" s="103"/>
      <c r="S135" s="107"/>
      <c r="T135" s="106">
        <f>H135*[1]чернетка!I93/100</f>
        <v>608.92884000000004</v>
      </c>
      <c r="U135" s="106">
        <f>(H135+I135+P135+Q135+S135+T135)*C135</f>
        <v>26530.291280000001</v>
      </c>
      <c r="V135" s="106">
        <f t="shared" si="87"/>
        <v>132651.4564</v>
      </c>
      <c r="W135" s="154"/>
      <c r="X135" s="154"/>
      <c r="Y135" s="154"/>
    </row>
    <row r="136" spans="1:25" s="150" customFormat="1" ht="33.75" x14ac:dyDescent="0.2">
      <c r="A136" s="103">
        <v>120</v>
      </c>
      <c r="B136" s="104" t="s">
        <v>147</v>
      </c>
      <c r="C136" s="105">
        <v>3</v>
      </c>
      <c r="D136" s="105"/>
      <c r="E136" s="105"/>
      <c r="F136" s="105"/>
      <c r="G136" s="106">
        <f t="shared" si="88"/>
        <v>28416.679199999999</v>
      </c>
      <c r="H136" s="106">
        <f>SUM(H134:H135)</f>
        <v>28416.679199999999</v>
      </c>
      <c r="I136" s="106">
        <f t="shared" ref="I136:V136" si="89">SUM(I134:I135)</f>
        <v>0</v>
      </c>
      <c r="J136" s="107">
        <f t="shared" si="89"/>
        <v>0</v>
      </c>
      <c r="K136" s="107">
        <f t="shared" si="89"/>
        <v>0</v>
      </c>
      <c r="L136" s="107">
        <f t="shared" si="89"/>
        <v>0</v>
      </c>
      <c r="M136" s="107">
        <f t="shared" si="89"/>
        <v>0</v>
      </c>
      <c r="N136" s="107">
        <f t="shared" si="89"/>
        <v>0</v>
      </c>
      <c r="O136" s="107">
        <f t="shared" si="89"/>
        <v>0</v>
      </c>
      <c r="P136" s="107">
        <f t="shared" si="89"/>
        <v>0</v>
      </c>
      <c r="Q136" s="107">
        <f t="shared" si="89"/>
        <v>477.64</v>
      </c>
      <c r="R136" s="107">
        <f t="shared" si="89"/>
        <v>0</v>
      </c>
      <c r="S136" s="107">
        <f t="shared" si="89"/>
        <v>0</v>
      </c>
      <c r="T136" s="106">
        <f t="shared" si="89"/>
        <v>2232.7390800000003</v>
      </c>
      <c r="U136" s="106">
        <f t="shared" si="89"/>
        <v>44392.20392</v>
      </c>
      <c r="V136" s="106">
        <f t="shared" si="89"/>
        <v>221961.0196</v>
      </c>
      <c r="W136" s="154"/>
    </row>
    <row r="137" spans="1:25" s="74" customFormat="1" ht="22.5" x14ac:dyDescent="0.2">
      <c r="A137" s="103">
        <v>121</v>
      </c>
      <c r="B137" s="104" t="s">
        <v>20</v>
      </c>
      <c r="C137" s="105">
        <v>4</v>
      </c>
      <c r="D137" s="105" t="s">
        <v>70</v>
      </c>
      <c r="E137" s="105">
        <v>1.2</v>
      </c>
      <c r="F137" s="122">
        <f t="shared" ref="F137:F152" si="90">H137/166.17</f>
        <v>48.859909730998375</v>
      </c>
      <c r="G137" s="106">
        <f t="shared" si="88"/>
        <v>8119.0511999999999</v>
      </c>
      <c r="H137" s="106">
        <f t="shared" ref="H137:H152" si="91">2379*1.8*1.58*E137</f>
        <v>8119.0511999999999</v>
      </c>
      <c r="I137" s="106">
        <f>H137*16/100</f>
        <v>1299.048192</v>
      </c>
      <c r="J137" s="261"/>
      <c r="K137" s="106">
        <v>0</v>
      </c>
      <c r="L137" s="108"/>
      <c r="M137" s="103"/>
      <c r="N137" s="103"/>
      <c r="O137" s="103"/>
      <c r="P137" s="107">
        <v>3697.94</v>
      </c>
      <c r="Q137" s="107">
        <v>955.24</v>
      </c>
      <c r="R137" s="103"/>
      <c r="S137" s="103"/>
      <c r="T137" s="106">
        <f>H137*[1]чернетка!I94/100</f>
        <v>405.95256000000001</v>
      </c>
      <c r="U137" s="106">
        <f>(H137+I137+P137+Q137+S137+T137)*C137</f>
        <v>57908.927808</v>
      </c>
      <c r="V137" s="106">
        <f t="shared" ref="V137:V154" si="92">U137*5</f>
        <v>289544.63903999998</v>
      </c>
      <c r="W137" s="154"/>
      <c r="X137" s="154"/>
      <c r="Y137" s="154"/>
    </row>
    <row r="138" spans="1:25" s="74" customFormat="1" ht="11.25" x14ac:dyDescent="0.2">
      <c r="A138" s="103">
        <v>122</v>
      </c>
      <c r="B138" s="104" t="s">
        <v>57</v>
      </c>
      <c r="C138" s="105">
        <v>4</v>
      </c>
      <c r="D138" s="105" t="s">
        <v>138</v>
      </c>
      <c r="E138" s="105">
        <v>1.08</v>
      </c>
      <c r="F138" s="122">
        <f t="shared" si="90"/>
        <v>43.973918757898545</v>
      </c>
      <c r="G138" s="106">
        <f t="shared" si="88"/>
        <v>7307.1460800000004</v>
      </c>
      <c r="H138" s="106">
        <f t="shared" si="91"/>
        <v>7307.1460800000004</v>
      </c>
      <c r="I138" s="106">
        <f>H138*28/100</f>
        <v>2046.0009024000001</v>
      </c>
      <c r="J138" s="261"/>
      <c r="K138" s="106">
        <v>0</v>
      </c>
      <c r="L138" s="108"/>
      <c r="M138" s="103"/>
      <c r="N138" s="103"/>
      <c r="O138" s="103"/>
      <c r="P138" s="107">
        <v>3328.31</v>
      </c>
      <c r="Q138" s="107">
        <v>859.76</v>
      </c>
      <c r="R138" s="103"/>
      <c r="S138" s="103"/>
      <c r="T138" s="106">
        <f>H138*[1]чернетка!I95/100</f>
        <v>365.357304</v>
      </c>
      <c r="U138" s="106">
        <f>(H138+I138+P138+Q138+S138+T138)*C138</f>
        <v>55626.297145600001</v>
      </c>
      <c r="V138" s="106">
        <f t="shared" si="92"/>
        <v>278131.485728</v>
      </c>
      <c r="W138" s="154"/>
      <c r="X138" s="154"/>
      <c r="Y138" s="154"/>
    </row>
    <row r="139" spans="1:25" s="142" customFormat="1" ht="21.75" x14ac:dyDescent="0.2">
      <c r="A139" s="103">
        <v>123</v>
      </c>
      <c r="B139" s="99" t="s">
        <v>58</v>
      </c>
      <c r="C139" s="105"/>
      <c r="D139" s="105"/>
      <c r="E139" s="105"/>
      <c r="F139" s="105"/>
      <c r="G139" s="106"/>
      <c r="H139" s="106"/>
      <c r="I139" s="106"/>
      <c r="J139" s="261"/>
      <c r="K139" s="106"/>
      <c r="L139" s="108"/>
      <c r="M139" s="103"/>
      <c r="N139" s="103"/>
      <c r="O139" s="103"/>
      <c r="P139" s="103"/>
      <c r="Q139" s="103"/>
      <c r="R139" s="103"/>
      <c r="S139" s="103"/>
      <c r="T139" s="106"/>
      <c r="U139" s="106"/>
      <c r="V139" s="106"/>
      <c r="W139" s="154"/>
      <c r="X139" s="150"/>
      <c r="Y139" s="150"/>
    </row>
    <row r="140" spans="1:25" s="74" customFormat="1" ht="22.5" x14ac:dyDescent="0.2">
      <c r="A140" s="103">
        <v>124</v>
      </c>
      <c r="B140" s="104" t="s">
        <v>27</v>
      </c>
      <c r="C140" s="105">
        <v>1</v>
      </c>
      <c r="D140" s="105" t="s">
        <v>115</v>
      </c>
      <c r="E140" s="105">
        <v>1.35</v>
      </c>
      <c r="F140" s="122">
        <f t="shared" si="90"/>
        <v>54.967398447373178</v>
      </c>
      <c r="G140" s="106">
        <f t="shared" si="88"/>
        <v>9133.9326000000001</v>
      </c>
      <c r="H140" s="106">
        <f t="shared" si="91"/>
        <v>9133.9326000000001</v>
      </c>
      <c r="I140" s="106">
        <f>H140*8/100</f>
        <v>730.714608</v>
      </c>
      <c r="J140" s="261"/>
      <c r="K140" s="106">
        <v>0</v>
      </c>
      <c r="L140" s="108"/>
      <c r="M140" s="103"/>
      <c r="N140" s="103"/>
      <c r="O140" s="103"/>
      <c r="P140" s="107">
        <v>1040.0999999999999</v>
      </c>
      <c r="Q140" s="107">
        <v>268.68</v>
      </c>
      <c r="R140" s="103"/>
      <c r="S140" s="103"/>
      <c r="T140" s="106">
        <f>H140*[1]чернетка!I96/100</f>
        <v>456.69663000000003</v>
      </c>
      <c r="U140" s="106">
        <f>(H140+I140+P140+Q140+S140+T140)*C140</f>
        <v>11630.123838000001</v>
      </c>
      <c r="V140" s="106">
        <f t="shared" si="92"/>
        <v>58150.619190000005</v>
      </c>
      <c r="W140" s="154"/>
      <c r="X140" s="154"/>
      <c r="Y140" s="154"/>
    </row>
    <row r="141" spans="1:25" s="74" customFormat="1" ht="22.5" x14ac:dyDescent="0.2">
      <c r="A141" s="103">
        <v>125</v>
      </c>
      <c r="B141" s="104" t="s">
        <v>27</v>
      </c>
      <c r="C141" s="105">
        <v>3</v>
      </c>
      <c r="D141" s="105" t="s">
        <v>123</v>
      </c>
      <c r="E141" s="105">
        <v>1.54</v>
      </c>
      <c r="F141" s="122">
        <f t="shared" si="90"/>
        <v>62.703550821447926</v>
      </c>
      <c r="G141" s="106">
        <f t="shared" si="88"/>
        <v>10419.449040000001</v>
      </c>
      <c r="H141" s="106">
        <f t="shared" si="91"/>
        <v>10419.449040000001</v>
      </c>
      <c r="I141" s="106">
        <f>H141*18/100</f>
        <v>1875.5008272000005</v>
      </c>
      <c r="J141" s="261"/>
      <c r="K141" s="106">
        <v>0</v>
      </c>
      <c r="L141" s="108"/>
      <c r="M141" s="103"/>
      <c r="N141" s="103"/>
      <c r="O141" s="103"/>
      <c r="P141" s="103"/>
      <c r="Q141" s="107">
        <v>919.55</v>
      </c>
      <c r="R141" s="103"/>
      <c r="S141" s="103"/>
      <c r="T141" s="106">
        <f>H141*[1]чернетка!I97/100</f>
        <v>520.97245200000009</v>
      </c>
      <c r="U141" s="106">
        <f t="shared" ref="U141:U154" si="93">(H141+I141+P141+Q141+S141+T141)*C141</f>
        <v>41206.416957599999</v>
      </c>
      <c r="V141" s="106">
        <f t="shared" si="92"/>
        <v>206032.08478799998</v>
      </c>
      <c r="W141" s="154"/>
      <c r="X141" s="154"/>
      <c r="Y141" s="154"/>
    </row>
    <row r="142" spans="1:25" s="74" customFormat="1" ht="11.25" x14ac:dyDescent="0.2">
      <c r="A142" s="103">
        <v>126</v>
      </c>
      <c r="B142" s="104" t="s">
        <v>29</v>
      </c>
      <c r="C142" s="105">
        <v>1</v>
      </c>
      <c r="D142" s="105" t="s">
        <v>123</v>
      </c>
      <c r="E142" s="105">
        <v>1.54</v>
      </c>
      <c r="F142" s="122">
        <f t="shared" si="90"/>
        <v>62.703550821447926</v>
      </c>
      <c r="G142" s="106">
        <f t="shared" si="88"/>
        <v>10419.449040000001</v>
      </c>
      <c r="H142" s="106">
        <f t="shared" si="91"/>
        <v>10419.449040000001</v>
      </c>
      <c r="I142" s="106">
        <f>H142*8/100</f>
        <v>833.55592320000005</v>
      </c>
      <c r="J142" s="261"/>
      <c r="K142" s="106">
        <v>0</v>
      </c>
      <c r="L142" s="108"/>
      <c r="M142" s="103"/>
      <c r="N142" s="103"/>
      <c r="O142" s="103"/>
      <c r="P142" s="103"/>
      <c r="Q142" s="103"/>
      <c r="R142" s="103"/>
      <c r="S142" s="103"/>
      <c r="T142" s="106">
        <f>H142*[1]чернетка!I98/100</f>
        <v>520.97245200000009</v>
      </c>
      <c r="U142" s="106">
        <f t="shared" si="93"/>
        <v>11773.977415200001</v>
      </c>
      <c r="V142" s="106">
        <f t="shared" si="92"/>
        <v>58869.887076000006</v>
      </c>
      <c r="W142" s="154"/>
      <c r="X142" s="154"/>
      <c r="Y142" s="154"/>
    </row>
    <row r="143" spans="1:25" s="142" customFormat="1" ht="21.75" x14ac:dyDescent="0.2">
      <c r="A143" s="103">
        <v>127</v>
      </c>
      <c r="B143" s="99" t="s">
        <v>59</v>
      </c>
      <c r="C143" s="105"/>
      <c r="D143" s="105"/>
      <c r="E143" s="105"/>
      <c r="F143" s="122"/>
      <c r="G143" s="106"/>
      <c r="H143" s="106"/>
      <c r="I143" s="106"/>
      <c r="J143" s="261"/>
      <c r="K143" s="106"/>
      <c r="L143" s="108"/>
      <c r="M143" s="103"/>
      <c r="N143" s="103"/>
      <c r="O143" s="103"/>
      <c r="P143" s="103"/>
      <c r="Q143" s="103"/>
      <c r="R143" s="103"/>
      <c r="S143" s="103"/>
      <c r="T143" s="106"/>
      <c r="U143" s="106"/>
      <c r="V143" s="106"/>
      <c r="W143" s="154"/>
      <c r="X143" s="150"/>
      <c r="Y143" s="150"/>
    </row>
    <row r="144" spans="1:25" s="74" customFormat="1" ht="11.25" x14ac:dyDescent="0.2">
      <c r="A144" s="103">
        <v>128</v>
      </c>
      <c r="B144" s="104" t="s">
        <v>57</v>
      </c>
      <c r="C144" s="105">
        <v>2</v>
      </c>
      <c r="D144" s="105" t="s">
        <v>138</v>
      </c>
      <c r="E144" s="105">
        <v>1.08</v>
      </c>
      <c r="F144" s="122">
        <f t="shared" si="90"/>
        <v>43.973918757898545</v>
      </c>
      <c r="G144" s="106">
        <f>H144</f>
        <v>7307.1460800000004</v>
      </c>
      <c r="H144" s="106">
        <f t="shared" si="91"/>
        <v>7307.1460800000004</v>
      </c>
      <c r="I144" s="106">
        <f>H144*16/100</f>
        <v>1169.1433728000002</v>
      </c>
      <c r="J144" s="261"/>
      <c r="K144" s="106">
        <v>0</v>
      </c>
      <c r="L144" s="108"/>
      <c r="M144" s="103"/>
      <c r="N144" s="103"/>
      <c r="O144" s="103"/>
      <c r="P144" s="107">
        <v>1664.16</v>
      </c>
      <c r="Q144" s="107">
        <v>429.88</v>
      </c>
      <c r="R144" s="103"/>
      <c r="S144" s="103"/>
      <c r="T144" s="106">
        <f>H144*[1]чернетка!I99/100</f>
        <v>365.357304</v>
      </c>
      <c r="U144" s="106">
        <f t="shared" si="93"/>
        <v>21871.373513599996</v>
      </c>
      <c r="V144" s="106">
        <f t="shared" si="92"/>
        <v>109356.86756799999</v>
      </c>
      <c r="W144" s="154"/>
      <c r="X144" s="154"/>
      <c r="Y144" s="154"/>
    </row>
    <row r="145" spans="1:25" s="74" customFormat="1" ht="29.25" customHeight="1" x14ac:dyDescent="0.2">
      <c r="A145" s="103">
        <v>129</v>
      </c>
      <c r="B145" s="104" t="s">
        <v>60</v>
      </c>
      <c r="C145" s="105">
        <v>4</v>
      </c>
      <c r="D145" s="105" t="s">
        <v>138</v>
      </c>
      <c r="E145" s="105">
        <v>1.08</v>
      </c>
      <c r="F145" s="122">
        <f t="shared" si="90"/>
        <v>43.973918757898545</v>
      </c>
      <c r="G145" s="106">
        <f t="shared" ref="G145:G152" si="94">H145</f>
        <v>7307.1460800000004</v>
      </c>
      <c r="H145" s="106">
        <f t="shared" si="91"/>
        <v>7307.1460800000004</v>
      </c>
      <c r="I145" s="106">
        <f>H145*32/100</f>
        <v>2338.2867456000004</v>
      </c>
      <c r="J145" s="261"/>
      <c r="K145" s="106">
        <v>0</v>
      </c>
      <c r="L145" s="108"/>
      <c r="M145" s="103"/>
      <c r="N145" s="103"/>
      <c r="O145" s="103"/>
      <c r="P145" s="107">
        <v>3328.31</v>
      </c>
      <c r="Q145" s="107">
        <v>859.76</v>
      </c>
      <c r="R145" s="103"/>
      <c r="S145" s="103"/>
      <c r="T145" s="106">
        <f>H145*[1]чернетка!I100/100</f>
        <v>365.357304</v>
      </c>
      <c r="U145" s="106">
        <f t="shared" si="93"/>
        <v>56795.440518399999</v>
      </c>
      <c r="V145" s="106">
        <f t="shared" si="92"/>
        <v>283977.20259200002</v>
      </c>
      <c r="W145" s="154"/>
      <c r="X145" s="154"/>
      <c r="Y145" s="154"/>
    </row>
    <row r="146" spans="1:25" s="74" customFormat="1" ht="25.5" customHeight="1" x14ac:dyDescent="0.2">
      <c r="A146" s="103">
        <v>130</v>
      </c>
      <c r="B146" s="104" t="s">
        <v>61</v>
      </c>
      <c r="C146" s="105">
        <v>2</v>
      </c>
      <c r="D146" s="105" t="s">
        <v>138</v>
      </c>
      <c r="E146" s="105">
        <v>1.08</v>
      </c>
      <c r="F146" s="122">
        <f t="shared" si="90"/>
        <v>43.973918757898545</v>
      </c>
      <c r="G146" s="106">
        <f t="shared" si="94"/>
        <v>7307.1460800000004</v>
      </c>
      <c r="H146" s="106">
        <f t="shared" si="91"/>
        <v>7307.1460800000004</v>
      </c>
      <c r="I146" s="106">
        <f>H146*16/100</f>
        <v>1169.1433728000002</v>
      </c>
      <c r="J146" s="261"/>
      <c r="K146" s="106">
        <v>0</v>
      </c>
      <c r="L146" s="108"/>
      <c r="M146" s="103"/>
      <c r="N146" s="103"/>
      <c r="O146" s="103"/>
      <c r="P146" s="107">
        <v>1664.16</v>
      </c>
      <c r="Q146" s="107">
        <v>429.88</v>
      </c>
      <c r="R146" s="103"/>
      <c r="S146" s="103"/>
      <c r="T146" s="106">
        <f>H146*[1]чернетка!I101/100</f>
        <v>365.357304</v>
      </c>
      <c r="U146" s="106">
        <f t="shared" si="93"/>
        <v>21871.373513599996</v>
      </c>
      <c r="V146" s="106">
        <f t="shared" si="92"/>
        <v>109356.86756799999</v>
      </c>
      <c r="W146" s="154"/>
      <c r="X146" s="154"/>
      <c r="Y146" s="154"/>
    </row>
    <row r="147" spans="1:25" s="74" customFormat="1" ht="22.5" x14ac:dyDescent="0.2">
      <c r="A147" s="103">
        <v>131</v>
      </c>
      <c r="B147" s="104" t="s">
        <v>62</v>
      </c>
      <c r="C147" s="105">
        <v>1</v>
      </c>
      <c r="D147" s="105" t="s">
        <v>138</v>
      </c>
      <c r="E147" s="105">
        <v>1.08</v>
      </c>
      <c r="F147" s="122">
        <f t="shared" si="90"/>
        <v>43.973918757898545</v>
      </c>
      <c r="G147" s="106">
        <f t="shared" si="94"/>
        <v>7307.1460800000004</v>
      </c>
      <c r="H147" s="106">
        <f t="shared" si="91"/>
        <v>7307.1460800000004</v>
      </c>
      <c r="I147" s="106">
        <f>H147*8/100</f>
        <v>584.57168640000009</v>
      </c>
      <c r="J147" s="261"/>
      <c r="K147" s="106">
        <v>0</v>
      </c>
      <c r="L147" s="108"/>
      <c r="M147" s="103"/>
      <c r="N147" s="103"/>
      <c r="O147" s="103"/>
      <c r="P147" s="103"/>
      <c r="Q147" s="107">
        <v>214.94</v>
      </c>
      <c r="R147" s="103"/>
      <c r="S147" s="103"/>
      <c r="T147" s="106">
        <f>H147*[1]чернетка!I102/100</f>
        <v>365.357304</v>
      </c>
      <c r="U147" s="106">
        <f t="shared" si="93"/>
        <v>8472.0150704000007</v>
      </c>
      <c r="V147" s="106">
        <f t="shared" si="92"/>
        <v>42360.075352</v>
      </c>
      <c r="W147" s="154"/>
      <c r="X147" s="154"/>
      <c r="Y147" s="154"/>
    </row>
    <row r="148" spans="1:25" s="74" customFormat="1" ht="22.5" x14ac:dyDescent="0.2">
      <c r="A148" s="103">
        <v>132</v>
      </c>
      <c r="B148" s="104" t="s">
        <v>148</v>
      </c>
      <c r="C148" s="105">
        <v>4</v>
      </c>
      <c r="D148" s="105" t="s">
        <v>70</v>
      </c>
      <c r="E148" s="105">
        <v>1.2</v>
      </c>
      <c r="F148" s="122">
        <f t="shared" si="90"/>
        <v>48.859909730998375</v>
      </c>
      <c r="G148" s="106">
        <f t="shared" si="94"/>
        <v>8119.0511999999999</v>
      </c>
      <c r="H148" s="106">
        <f t="shared" si="91"/>
        <v>8119.0511999999999</v>
      </c>
      <c r="I148" s="106">
        <f>H148*16/100</f>
        <v>1299.048192</v>
      </c>
      <c r="J148" s="261"/>
      <c r="K148" s="106">
        <v>0</v>
      </c>
      <c r="L148" s="108"/>
      <c r="M148" s="103"/>
      <c r="N148" s="103"/>
      <c r="O148" s="103"/>
      <c r="P148" s="103"/>
      <c r="Q148" s="107">
        <v>955.24</v>
      </c>
      <c r="R148" s="103"/>
      <c r="S148" s="103"/>
      <c r="T148" s="106">
        <f>H148*[1]чернетка!I103/100</f>
        <v>405.95256000000001</v>
      </c>
      <c r="U148" s="106">
        <f t="shared" si="93"/>
        <v>43117.167807999998</v>
      </c>
      <c r="V148" s="106">
        <f t="shared" si="92"/>
        <v>215585.83903999999</v>
      </c>
      <c r="W148" s="154"/>
      <c r="X148" s="154"/>
      <c r="Y148" s="154"/>
    </row>
    <row r="149" spans="1:25" s="74" customFormat="1" ht="22.5" x14ac:dyDescent="0.2">
      <c r="A149" s="103">
        <v>133</v>
      </c>
      <c r="B149" s="104" t="s">
        <v>25</v>
      </c>
      <c r="C149" s="105">
        <v>1</v>
      </c>
      <c r="D149" s="105" t="s">
        <v>70</v>
      </c>
      <c r="E149" s="105">
        <v>1.2</v>
      </c>
      <c r="F149" s="122">
        <f t="shared" si="90"/>
        <v>48.859909730998375</v>
      </c>
      <c r="G149" s="106">
        <f t="shared" si="94"/>
        <v>8119.0511999999999</v>
      </c>
      <c r="H149" s="106">
        <f t="shared" si="91"/>
        <v>8119.0511999999999</v>
      </c>
      <c r="I149" s="106">
        <f>H149*4/100</f>
        <v>324.76204799999999</v>
      </c>
      <c r="J149" s="261"/>
      <c r="K149" s="106">
        <v>0</v>
      </c>
      <c r="L149" s="108"/>
      <c r="M149" s="103"/>
      <c r="N149" s="103"/>
      <c r="O149" s="103"/>
      <c r="P149" s="107"/>
      <c r="Q149" s="107">
        <v>238.81</v>
      </c>
      <c r="R149" s="103"/>
      <c r="S149" s="103"/>
      <c r="T149" s="106">
        <f>H149*[1]чернетка!I104/100</f>
        <v>405.95256000000001</v>
      </c>
      <c r="U149" s="106">
        <f t="shared" si="93"/>
        <v>9088.5758079999996</v>
      </c>
      <c r="V149" s="106">
        <f t="shared" si="92"/>
        <v>45442.87904</v>
      </c>
      <c r="W149" s="154"/>
      <c r="X149" s="154"/>
      <c r="Y149" s="154"/>
    </row>
    <row r="150" spans="1:25" s="74" customFormat="1" ht="22.5" x14ac:dyDescent="0.2">
      <c r="A150" s="103">
        <v>134</v>
      </c>
      <c r="B150" s="104" t="s">
        <v>20</v>
      </c>
      <c r="C150" s="105">
        <v>4</v>
      </c>
      <c r="D150" s="105" t="s">
        <v>70</v>
      </c>
      <c r="E150" s="105">
        <v>1.2</v>
      </c>
      <c r="F150" s="122">
        <f t="shared" si="90"/>
        <v>48.859909730998375</v>
      </c>
      <c r="G150" s="106">
        <f t="shared" si="94"/>
        <v>8119.0511999999999</v>
      </c>
      <c r="H150" s="106">
        <f t="shared" si="91"/>
        <v>8119.0511999999999</v>
      </c>
      <c r="I150" s="106">
        <f>H150*16/100</f>
        <v>1299.048192</v>
      </c>
      <c r="J150" s="261"/>
      <c r="K150" s="106">
        <v>0</v>
      </c>
      <c r="L150" s="108"/>
      <c r="M150" s="103"/>
      <c r="N150" s="103"/>
      <c r="O150" s="103"/>
      <c r="P150" s="107">
        <v>2958.35</v>
      </c>
      <c r="Q150" s="107">
        <v>764.19</v>
      </c>
      <c r="R150" s="103"/>
      <c r="S150" s="103"/>
      <c r="T150" s="106">
        <f>H150*[1]чернетка!I105/100</f>
        <v>405.95256000000001</v>
      </c>
      <c r="U150" s="106">
        <f t="shared" si="93"/>
        <v>54186.367808000003</v>
      </c>
      <c r="V150" s="106">
        <f t="shared" si="92"/>
        <v>270931.83903999999</v>
      </c>
      <c r="W150" s="154"/>
      <c r="X150" s="154"/>
      <c r="Y150" s="154"/>
    </row>
    <row r="151" spans="1:25" s="74" customFormat="1" ht="11.25" x14ac:dyDescent="0.2">
      <c r="A151" s="103">
        <v>135</v>
      </c>
      <c r="B151" s="104" t="s">
        <v>26</v>
      </c>
      <c r="C151" s="105">
        <v>2</v>
      </c>
      <c r="D151" s="105" t="s">
        <v>115</v>
      </c>
      <c r="E151" s="105">
        <v>1.35</v>
      </c>
      <c r="F151" s="122">
        <f t="shared" si="90"/>
        <v>54.967398447373178</v>
      </c>
      <c r="G151" s="106">
        <f t="shared" si="94"/>
        <v>9133.9326000000001</v>
      </c>
      <c r="H151" s="106">
        <f t="shared" si="91"/>
        <v>9133.9326000000001</v>
      </c>
      <c r="I151" s="106">
        <f>H151*16/100</f>
        <v>1461.429216</v>
      </c>
      <c r="J151" s="261"/>
      <c r="K151" s="106">
        <v>0</v>
      </c>
      <c r="L151" s="108"/>
      <c r="M151" s="103"/>
      <c r="N151" s="103"/>
      <c r="O151" s="103"/>
      <c r="P151" s="107"/>
      <c r="Q151" s="107">
        <v>537.35</v>
      </c>
      <c r="R151" s="103"/>
      <c r="S151" s="103"/>
      <c r="T151" s="106">
        <f>H151*[1]чернетка!I106/100</f>
        <v>456.69663000000003</v>
      </c>
      <c r="U151" s="106">
        <f t="shared" si="93"/>
        <v>23178.816892000003</v>
      </c>
      <c r="V151" s="106">
        <f t="shared" si="92"/>
        <v>115894.08446000001</v>
      </c>
      <c r="W151" s="154"/>
      <c r="X151" s="154"/>
      <c r="Y151" s="154"/>
    </row>
    <row r="152" spans="1:25" s="74" customFormat="1" ht="22.5" x14ac:dyDescent="0.2">
      <c r="A152" s="103">
        <v>136</v>
      </c>
      <c r="B152" s="104" t="s">
        <v>20</v>
      </c>
      <c r="C152" s="105">
        <v>1</v>
      </c>
      <c r="D152" s="105" t="s">
        <v>70</v>
      </c>
      <c r="E152" s="105">
        <v>1.2</v>
      </c>
      <c r="F152" s="122">
        <f t="shared" si="90"/>
        <v>48.859909730998375</v>
      </c>
      <c r="G152" s="106">
        <f t="shared" si="94"/>
        <v>8119.0511999999999</v>
      </c>
      <c r="H152" s="106">
        <f t="shared" si="91"/>
        <v>8119.0511999999999</v>
      </c>
      <c r="I152" s="106">
        <f>H152*4/100</f>
        <v>324.76204799999999</v>
      </c>
      <c r="J152" s="261"/>
      <c r="K152" s="106">
        <v>0</v>
      </c>
      <c r="L152" s="108"/>
      <c r="M152" s="103"/>
      <c r="N152" s="103"/>
      <c r="O152" s="103"/>
      <c r="P152" s="107">
        <v>739.59</v>
      </c>
      <c r="Q152" s="107">
        <v>191.05</v>
      </c>
      <c r="R152" s="103"/>
      <c r="S152" s="103"/>
      <c r="T152" s="106">
        <f>H152*[1]чернетка!I107/100</f>
        <v>405.95256000000001</v>
      </c>
      <c r="U152" s="106">
        <f t="shared" si="93"/>
        <v>9780.4058079999995</v>
      </c>
      <c r="V152" s="106">
        <f t="shared" si="92"/>
        <v>48902.029039999994</v>
      </c>
      <c r="W152" s="154"/>
      <c r="X152" s="154"/>
      <c r="Y152" s="154"/>
    </row>
    <row r="153" spans="1:25" s="142" customFormat="1" ht="15.75" customHeight="1" x14ac:dyDescent="0.2">
      <c r="A153" s="103">
        <v>137</v>
      </c>
      <c r="B153" s="99" t="s">
        <v>63</v>
      </c>
      <c r="C153" s="105"/>
      <c r="D153" s="105"/>
      <c r="E153" s="105"/>
      <c r="F153" s="105"/>
      <c r="G153" s="106"/>
      <c r="H153" s="106"/>
      <c r="I153" s="106"/>
      <c r="J153" s="261"/>
      <c r="K153" s="106"/>
      <c r="L153" s="108"/>
      <c r="M153" s="103"/>
      <c r="N153" s="103"/>
      <c r="O153" s="103"/>
      <c r="P153" s="103"/>
      <c r="Q153" s="103"/>
      <c r="R153" s="103"/>
      <c r="S153" s="103"/>
      <c r="T153" s="106"/>
      <c r="U153" s="106"/>
      <c r="V153" s="106"/>
      <c r="W153" s="154"/>
      <c r="X153" s="150"/>
      <c r="Y153" s="150"/>
    </row>
    <row r="154" spans="1:25" s="74" customFormat="1" ht="22.5" x14ac:dyDescent="0.2">
      <c r="A154" s="103">
        <v>138</v>
      </c>
      <c r="B154" s="104" t="s">
        <v>32</v>
      </c>
      <c r="C154" s="105">
        <v>1</v>
      </c>
      <c r="D154" s="105">
        <v>1.2</v>
      </c>
      <c r="E154" s="105"/>
      <c r="F154" s="105"/>
      <c r="G154" s="106">
        <f>H154</f>
        <v>5138.6399999999994</v>
      </c>
      <c r="H154" s="106">
        <f>2379*1.8*D154</f>
        <v>5138.6399999999994</v>
      </c>
      <c r="I154" s="106">
        <f>H154*4/100</f>
        <v>205.54559999999998</v>
      </c>
      <c r="J154" s="261"/>
      <c r="K154" s="106">
        <v>0</v>
      </c>
      <c r="L154" s="108"/>
      <c r="M154" s="103"/>
      <c r="N154" s="103"/>
      <c r="O154" s="103"/>
      <c r="P154" s="103"/>
      <c r="Q154" s="103"/>
      <c r="R154" s="103"/>
      <c r="S154" s="107">
        <v>2003</v>
      </c>
      <c r="T154" s="106">
        <f>H154*[1]чернетка!I107/100</f>
        <v>256.93199999999996</v>
      </c>
      <c r="U154" s="106">
        <f t="shared" si="93"/>
        <v>7604.1175999999996</v>
      </c>
      <c r="V154" s="106">
        <f t="shared" si="92"/>
        <v>38020.587999999996</v>
      </c>
      <c r="W154" s="154"/>
      <c r="X154" s="154"/>
      <c r="Y154" s="154"/>
    </row>
    <row r="155" spans="1:25" s="142" customFormat="1" ht="33.75" x14ac:dyDescent="0.2">
      <c r="A155" s="103">
        <v>139</v>
      </c>
      <c r="B155" s="104" t="s">
        <v>149</v>
      </c>
      <c r="C155" s="105">
        <f>SUM(C137:C154)</f>
        <v>35</v>
      </c>
      <c r="D155" s="105"/>
      <c r="E155" s="105"/>
      <c r="F155" s="105"/>
      <c r="G155" s="106">
        <f t="shared" ref="G155:G156" si="95">H155</f>
        <v>121376.38968000001</v>
      </c>
      <c r="H155" s="106">
        <f>SUM(H137:H154)</f>
        <v>121376.38968000001</v>
      </c>
      <c r="I155" s="106">
        <f t="shared" ref="I155:V155" si="96">SUM(I137:I154)</f>
        <v>16960.560926400005</v>
      </c>
      <c r="J155" s="107">
        <f t="shared" si="96"/>
        <v>0</v>
      </c>
      <c r="K155" s="107">
        <f t="shared" si="96"/>
        <v>0</v>
      </c>
      <c r="L155" s="107">
        <f t="shared" si="96"/>
        <v>0</v>
      </c>
      <c r="M155" s="107">
        <f t="shared" si="96"/>
        <v>0</v>
      </c>
      <c r="N155" s="107">
        <f t="shared" si="96"/>
        <v>0</v>
      </c>
      <c r="O155" s="107">
        <f t="shared" si="96"/>
        <v>0</v>
      </c>
      <c r="P155" s="107">
        <f t="shared" si="96"/>
        <v>18420.919999999998</v>
      </c>
      <c r="Q155" s="107">
        <f t="shared" si="96"/>
        <v>7624.3300000000008</v>
      </c>
      <c r="R155" s="107">
        <f t="shared" si="96"/>
        <v>0</v>
      </c>
      <c r="S155" s="107">
        <f t="shared" si="96"/>
        <v>2003</v>
      </c>
      <c r="T155" s="106">
        <f t="shared" si="96"/>
        <v>6068.8194839999996</v>
      </c>
      <c r="U155" s="106">
        <f t="shared" si="96"/>
        <v>434111.3975044</v>
      </c>
      <c r="V155" s="106">
        <f t="shared" si="96"/>
        <v>2170556.987522</v>
      </c>
      <c r="W155" s="154"/>
      <c r="X155" s="150"/>
      <c r="Y155" s="150"/>
    </row>
    <row r="156" spans="1:25" s="153" customFormat="1" ht="22.5" x14ac:dyDescent="0.2">
      <c r="A156" s="103">
        <v>140</v>
      </c>
      <c r="B156" s="113" t="s">
        <v>64</v>
      </c>
      <c r="C156" s="117">
        <v>38</v>
      </c>
      <c r="D156" s="117"/>
      <c r="E156" s="117"/>
      <c r="F156" s="117"/>
      <c r="G156" s="119">
        <f t="shared" si="95"/>
        <v>149793.06888000001</v>
      </c>
      <c r="H156" s="119">
        <f>H155+H136</f>
        <v>149793.06888000001</v>
      </c>
      <c r="I156" s="119">
        <f t="shared" ref="I156:V156" si="97">I155+I136</f>
        <v>16960.560926400005</v>
      </c>
      <c r="J156" s="125">
        <f t="shared" si="97"/>
        <v>0</v>
      </c>
      <c r="K156" s="125">
        <f t="shared" si="97"/>
        <v>0</v>
      </c>
      <c r="L156" s="125">
        <f t="shared" si="97"/>
        <v>0</v>
      </c>
      <c r="M156" s="125">
        <f t="shared" si="97"/>
        <v>0</v>
      </c>
      <c r="N156" s="125">
        <f t="shared" si="97"/>
        <v>0</v>
      </c>
      <c r="O156" s="125">
        <f t="shared" si="97"/>
        <v>0</v>
      </c>
      <c r="P156" s="125">
        <f t="shared" si="97"/>
        <v>18420.919999999998</v>
      </c>
      <c r="Q156" s="125">
        <f t="shared" si="97"/>
        <v>8101.9700000000012</v>
      </c>
      <c r="R156" s="125">
        <f t="shared" si="97"/>
        <v>0</v>
      </c>
      <c r="S156" s="125">
        <f t="shared" si="97"/>
        <v>2003</v>
      </c>
      <c r="T156" s="119">
        <f t="shared" si="97"/>
        <v>8301.558563999999</v>
      </c>
      <c r="U156" s="119">
        <f t="shared" si="97"/>
        <v>478503.6014244</v>
      </c>
      <c r="V156" s="119">
        <f t="shared" si="97"/>
        <v>2392518.0071219997</v>
      </c>
      <c r="W156" s="154"/>
      <c r="X156" s="152"/>
      <c r="Y156" s="152"/>
    </row>
    <row r="157" spans="1:25" s="142" customFormat="1" ht="21.75" x14ac:dyDescent="0.2">
      <c r="A157" s="103">
        <v>141</v>
      </c>
      <c r="B157" s="99" t="s">
        <v>66</v>
      </c>
      <c r="C157" s="105"/>
      <c r="D157" s="105"/>
      <c r="E157" s="105"/>
      <c r="F157" s="105"/>
      <c r="G157" s="106"/>
      <c r="H157" s="106"/>
      <c r="I157" s="106"/>
      <c r="J157" s="103"/>
      <c r="K157" s="108"/>
      <c r="L157" s="108"/>
      <c r="M157" s="103"/>
      <c r="N157" s="103"/>
      <c r="O157" s="103"/>
      <c r="P157" s="103"/>
      <c r="Q157" s="103"/>
      <c r="R157" s="103"/>
      <c r="S157" s="103"/>
      <c r="T157" s="106"/>
      <c r="U157" s="108"/>
      <c r="V157" s="106"/>
      <c r="W157" s="154"/>
      <c r="X157" s="150"/>
      <c r="Y157" s="150"/>
    </row>
    <row r="158" spans="1:25" s="74" customFormat="1" ht="11.25" x14ac:dyDescent="0.2">
      <c r="A158" s="103">
        <v>142</v>
      </c>
      <c r="B158" s="104" t="s">
        <v>67</v>
      </c>
      <c r="C158" s="105">
        <v>1</v>
      </c>
      <c r="D158" s="105">
        <v>2.4</v>
      </c>
      <c r="E158" s="105"/>
      <c r="F158" s="105"/>
      <c r="G158" s="106">
        <f>H158</f>
        <v>16238.1024</v>
      </c>
      <c r="H158" s="106">
        <f>2379*1.8*1.58*D158</f>
        <v>16238.1024</v>
      </c>
      <c r="I158" s="106"/>
      <c r="J158" s="261"/>
      <c r="K158" s="106">
        <v>0</v>
      </c>
      <c r="L158" s="108"/>
      <c r="M158" s="103"/>
      <c r="N158" s="103"/>
      <c r="O158" s="103"/>
      <c r="P158" s="103"/>
      <c r="Q158" s="103"/>
      <c r="R158" s="103"/>
      <c r="S158" s="107"/>
      <c r="T158" s="106">
        <f>H158*[1]чернетка!I114/100</f>
        <v>1623.81024</v>
      </c>
      <c r="U158" s="106">
        <f t="shared" ref="U158:U159" si="98">(H158+I158+P158+Q158+S158+T158)*C158</f>
        <v>17861.912639999999</v>
      </c>
      <c r="V158" s="106">
        <f t="shared" ref="V158:V159" si="99">U158*5</f>
        <v>89309.56319999999</v>
      </c>
      <c r="W158" s="154"/>
      <c r="X158" s="154"/>
      <c r="Y158" s="154"/>
    </row>
    <row r="159" spans="1:25" s="74" customFormat="1" ht="11.25" x14ac:dyDescent="0.2">
      <c r="A159" s="103">
        <v>143</v>
      </c>
      <c r="B159" s="104" t="s">
        <v>113</v>
      </c>
      <c r="C159" s="105">
        <v>2</v>
      </c>
      <c r="D159" s="105">
        <v>1.8</v>
      </c>
      <c r="E159" s="105"/>
      <c r="F159" s="105"/>
      <c r="G159" s="106">
        <f t="shared" ref="G159:G160" si="100">H159</f>
        <v>12178.576800000001</v>
      </c>
      <c r="H159" s="106">
        <f>2379*1.8*1.58*D159</f>
        <v>12178.576800000001</v>
      </c>
      <c r="I159" s="106"/>
      <c r="J159" s="261"/>
      <c r="K159" s="106">
        <v>0</v>
      </c>
      <c r="L159" s="108"/>
      <c r="M159" s="103"/>
      <c r="N159" s="103"/>
      <c r="O159" s="103"/>
      <c r="P159" s="103"/>
      <c r="Q159" s="107">
        <v>477.64</v>
      </c>
      <c r="R159" s="103"/>
      <c r="S159" s="103"/>
      <c r="T159" s="106">
        <f>H159*[1]чернетка!I115/100</f>
        <v>608.92884000000004</v>
      </c>
      <c r="U159" s="106">
        <f t="shared" si="98"/>
        <v>26530.291280000001</v>
      </c>
      <c r="V159" s="106">
        <f t="shared" si="99"/>
        <v>132651.4564</v>
      </c>
      <c r="W159" s="154"/>
      <c r="X159" s="154"/>
      <c r="Y159" s="154"/>
    </row>
    <row r="160" spans="1:25" s="142" customFormat="1" ht="22.5" x14ac:dyDescent="0.2">
      <c r="A160" s="103">
        <v>144</v>
      </c>
      <c r="B160" s="104" t="s">
        <v>150</v>
      </c>
      <c r="C160" s="111">
        <v>3</v>
      </c>
      <c r="D160" s="122"/>
      <c r="E160" s="122"/>
      <c r="F160" s="122"/>
      <c r="G160" s="106">
        <f t="shared" si="100"/>
        <v>28416.679199999999</v>
      </c>
      <c r="H160" s="106">
        <f>SUM(H158:H159)</f>
        <v>28416.679199999999</v>
      </c>
      <c r="I160" s="106">
        <f t="shared" ref="I160:V160" si="101">SUM(I158:I159)</f>
        <v>0</v>
      </c>
      <c r="J160" s="107">
        <f t="shared" si="101"/>
        <v>0</v>
      </c>
      <c r="K160" s="107">
        <f t="shared" si="101"/>
        <v>0</v>
      </c>
      <c r="L160" s="107">
        <f t="shared" si="101"/>
        <v>0</v>
      </c>
      <c r="M160" s="107">
        <f t="shared" si="101"/>
        <v>0</v>
      </c>
      <c r="N160" s="107">
        <f t="shared" si="101"/>
        <v>0</v>
      </c>
      <c r="O160" s="107">
        <f t="shared" si="101"/>
        <v>0</v>
      </c>
      <c r="P160" s="107">
        <f t="shared" si="101"/>
        <v>0</v>
      </c>
      <c r="Q160" s="107">
        <f t="shared" si="101"/>
        <v>477.64</v>
      </c>
      <c r="R160" s="107">
        <f t="shared" si="101"/>
        <v>0</v>
      </c>
      <c r="S160" s="107">
        <f t="shared" si="101"/>
        <v>0</v>
      </c>
      <c r="T160" s="106">
        <f t="shared" si="101"/>
        <v>2232.7390800000003</v>
      </c>
      <c r="U160" s="106">
        <f t="shared" si="101"/>
        <v>44392.20392</v>
      </c>
      <c r="V160" s="106">
        <f t="shared" si="101"/>
        <v>221961.0196</v>
      </c>
      <c r="W160" s="154"/>
      <c r="X160" s="150"/>
      <c r="Y160" s="150"/>
    </row>
    <row r="161" spans="1:25" s="142" customFormat="1" ht="32.25" x14ac:dyDescent="0.2">
      <c r="A161" s="103">
        <v>145</v>
      </c>
      <c r="B161" s="99" t="s">
        <v>68</v>
      </c>
      <c r="C161" s="105"/>
      <c r="D161" s="105"/>
      <c r="E161" s="105"/>
      <c r="F161" s="105"/>
      <c r="G161" s="106"/>
      <c r="H161" s="106"/>
      <c r="I161" s="106"/>
      <c r="J161" s="103"/>
      <c r="K161" s="108"/>
      <c r="L161" s="108"/>
      <c r="M161" s="103"/>
      <c r="N161" s="103"/>
      <c r="O161" s="103"/>
      <c r="P161" s="103"/>
      <c r="Q161" s="103"/>
      <c r="R161" s="103"/>
      <c r="S161" s="103"/>
      <c r="T161" s="106"/>
      <c r="U161" s="108"/>
      <c r="V161" s="106"/>
      <c r="W161" s="154"/>
      <c r="X161" s="150"/>
      <c r="Y161" s="150"/>
    </row>
    <row r="162" spans="1:25" s="74" customFormat="1" ht="22.5" x14ac:dyDescent="0.2">
      <c r="A162" s="103">
        <v>146</v>
      </c>
      <c r="B162" s="104" t="s">
        <v>27</v>
      </c>
      <c r="C162" s="105">
        <v>7</v>
      </c>
      <c r="D162" s="105" t="s">
        <v>123</v>
      </c>
      <c r="E162" s="105">
        <v>1.54</v>
      </c>
      <c r="F162" s="122">
        <f t="shared" ref="F162:F166" si="102">H162/166.17</f>
        <v>62.703550821447926</v>
      </c>
      <c r="G162" s="106">
        <f>H162</f>
        <v>10419.449040000001</v>
      </c>
      <c r="H162" s="106">
        <f t="shared" ref="H162:H166" si="103">2379*1.8*1.58*E162</f>
        <v>10419.449040000001</v>
      </c>
      <c r="I162" s="106">
        <f>H162*26/100</f>
        <v>2709.0567504000005</v>
      </c>
      <c r="J162" s="261"/>
      <c r="K162" s="106">
        <v>0</v>
      </c>
      <c r="L162" s="108"/>
      <c r="M162" s="103"/>
      <c r="N162" s="103"/>
      <c r="O162" s="103"/>
      <c r="P162" s="103"/>
      <c r="Q162" s="107">
        <v>2145.61</v>
      </c>
      <c r="R162" s="103"/>
      <c r="S162" s="103"/>
      <c r="T162" s="106">
        <f>H162*[1]чернетка!I116/100</f>
        <v>520.97245200000009</v>
      </c>
      <c r="U162" s="106">
        <f t="shared" ref="U162:U166" si="104">(H162+I162+P162+Q162+S162+T162)*C162</f>
        <v>110565.61769680002</v>
      </c>
      <c r="V162" s="106">
        <f t="shared" ref="V162:V166" si="105">U162*5</f>
        <v>552828.08848400007</v>
      </c>
      <c r="W162" s="154"/>
      <c r="X162" s="154"/>
      <c r="Y162" s="154"/>
    </row>
    <row r="163" spans="1:25" s="144" customFormat="1" ht="22.5" x14ac:dyDescent="0.2">
      <c r="A163" s="103">
        <v>147</v>
      </c>
      <c r="B163" s="265" t="s">
        <v>27</v>
      </c>
      <c r="C163" s="266">
        <v>2</v>
      </c>
      <c r="D163" s="266" t="s">
        <v>115</v>
      </c>
      <c r="E163" s="266">
        <v>1.35</v>
      </c>
      <c r="F163" s="122">
        <f t="shared" si="102"/>
        <v>54.967398447373178</v>
      </c>
      <c r="G163" s="106">
        <f t="shared" ref="G163:G168" si="106">H163</f>
        <v>9133.9326000000001</v>
      </c>
      <c r="H163" s="106">
        <f t="shared" si="103"/>
        <v>9133.9326000000001</v>
      </c>
      <c r="I163" s="106">
        <f>H163*8/100</f>
        <v>730.714608</v>
      </c>
      <c r="J163" s="267"/>
      <c r="K163" s="268">
        <v>0</v>
      </c>
      <c r="L163" s="143"/>
      <c r="M163" s="131"/>
      <c r="N163" s="131"/>
      <c r="O163" s="131"/>
      <c r="P163" s="131"/>
      <c r="Q163" s="107">
        <v>537.35</v>
      </c>
      <c r="R163" s="131"/>
      <c r="S163" s="131"/>
      <c r="T163" s="106">
        <f>H163*[1]чернетка!I117/100</f>
        <v>456.69663000000003</v>
      </c>
      <c r="U163" s="106">
        <f t="shared" si="104"/>
        <v>21717.387676000002</v>
      </c>
      <c r="V163" s="106">
        <f t="shared" si="105"/>
        <v>108586.93838000001</v>
      </c>
      <c r="W163" s="154"/>
      <c r="X163" s="269"/>
      <c r="Y163" s="269"/>
    </row>
    <row r="164" spans="1:25" s="74" customFormat="1" ht="22.5" x14ac:dyDescent="0.2">
      <c r="A164" s="103">
        <v>148</v>
      </c>
      <c r="B164" s="104" t="s">
        <v>27</v>
      </c>
      <c r="C164" s="105">
        <v>1</v>
      </c>
      <c r="D164" s="105" t="s">
        <v>70</v>
      </c>
      <c r="E164" s="105">
        <v>1.2</v>
      </c>
      <c r="F164" s="122">
        <f t="shared" si="102"/>
        <v>48.859909730998375</v>
      </c>
      <c r="G164" s="106">
        <f t="shared" si="106"/>
        <v>8119.0511999999999</v>
      </c>
      <c r="H164" s="106">
        <f t="shared" si="103"/>
        <v>8119.0511999999999</v>
      </c>
      <c r="I164" s="106">
        <f>H164*4/100</f>
        <v>324.76204799999999</v>
      </c>
      <c r="J164" s="261"/>
      <c r="K164" s="106">
        <v>0</v>
      </c>
      <c r="L164" s="108"/>
      <c r="M164" s="103"/>
      <c r="N164" s="103"/>
      <c r="O164" s="103"/>
      <c r="P164" s="103"/>
      <c r="Q164" s="107">
        <v>238.81</v>
      </c>
      <c r="R164" s="103"/>
      <c r="S164" s="103"/>
      <c r="T164" s="106">
        <f>H164*[1]чернетка!I118/100</f>
        <v>405.95256000000001</v>
      </c>
      <c r="U164" s="106">
        <f t="shared" si="104"/>
        <v>9088.5758079999996</v>
      </c>
      <c r="V164" s="106">
        <f t="shared" si="105"/>
        <v>45442.87904</v>
      </c>
      <c r="W164" s="154"/>
      <c r="X164" s="154"/>
      <c r="Y164" s="154"/>
    </row>
    <row r="165" spans="1:25" s="74" customFormat="1" ht="11.25" x14ac:dyDescent="0.2">
      <c r="A165" s="103">
        <v>149</v>
      </c>
      <c r="B165" s="104" t="s">
        <v>29</v>
      </c>
      <c r="C165" s="105">
        <v>2</v>
      </c>
      <c r="D165" s="105" t="s">
        <v>123</v>
      </c>
      <c r="E165" s="105">
        <v>1.54</v>
      </c>
      <c r="F165" s="122">
        <f t="shared" si="102"/>
        <v>62.703550821447926</v>
      </c>
      <c r="G165" s="106">
        <f t="shared" si="106"/>
        <v>10419.449040000001</v>
      </c>
      <c r="H165" s="106">
        <f t="shared" si="103"/>
        <v>10419.449040000001</v>
      </c>
      <c r="I165" s="106">
        <f>H165*16/100</f>
        <v>1667.1118464000001</v>
      </c>
      <c r="J165" s="261"/>
      <c r="K165" s="106">
        <v>0</v>
      </c>
      <c r="L165" s="108"/>
      <c r="M165" s="103"/>
      <c r="N165" s="103"/>
      <c r="O165" s="103"/>
      <c r="P165" s="103"/>
      <c r="Q165" s="103"/>
      <c r="R165" s="103"/>
      <c r="S165" s="103"/>
      <c r="T165" s="106">
        <f>H165*[1]чернетка!I119/100</f>
        <v>520.97245200000009</v>
      </c>
      <c r="U165" s="106">
        <f t="shared" si="104"/>
        <v>25215.066676800005</v>
      </c>
      <c r="V165" s="106">
        <f t="shared" si="105"/>
        <v>126075.33338400003</v>
      </c>
      <c r="W165" s="154"/>
      <c r="X165" s="154"/>
      <c r="Y165" s="154"/>
    </row>
    <row r="166" spans="1:25" s="74" customFormat="1" ht="11.25" x14ac:dyDescent="0.2">
      <c r="A166" s="103">
        <v>150</v>
      </c>
      <c r="B166" s="104" t="s">
        <v>29</v>
      </c>
      <c r="C166" s="105">
        <v>1</v>
      </c>
      <c r="D166" s="105" t="s">
        <v>70</v>
      </c>
      <c r="E166" s="105">
        <v>1.2</v>
      </c>
      <c r="F166" s="122">
        <f t="shared" si="102"/>
        <v>48.859909730998375</v>
      </c>
      <c r="G166" s="106">
        <f t="shared" si="106"/>
        <v>8119.0511999999999</v>
      </c>
      <c r="H166" s="106">
        <f t="shared" si="103"/>
        <v>8119.0511999999999</v>
      </c>
      <c r="I166" s="106">
        <f>H166*8/100</f>
        <v>649.52409599999999</v>
      </c>
      <c r="J166" s="261"/>
      <c r="K166" s="106">
        <v>0</v>
      </c>
      <c r="L166" s="108"/>
      <c r="M166" s="103"/>
      <c r="N166" s="103"/>
      <c r="O166" s="103"/>
      <c r="P166" s="103"/>
      <c r="Q166" s="103"/>
      <c r="R166" s="103"/>
      <c r="S166" s="103"/>
      <c r="T166" s="106">
        <f>H166*[1]чернетка!I120/100</f>
        <v>405.95256000000001</v>
      </c>
      <c r="U166" s="106">
        <f t="shared" si="104"/>
        <v>9174.5278559999988</v>
      </c>
      <c r="V166" s="106">
        <f t="shared" si="105"/>
        <v>45872.639279999996</v>
      </c>
      <c r="W166" s="154"/>
      <c r="X166" s="154"/>
      <c r="Y166" s="154"/>
    </row>
    <row r="167" spans="1:25" s="150" customFormat="1" ht="33.75" x14ac:dyDescent="0.2">
      <c r="A167" s="103">
        <v>151</v>
      </c>
      <c r="B167" s="104" t="s">
        <v>151</v>
      </c>
      <c r="C167" s="121">
        <v>13</v>
      </c>
      <c r="D167" s="122"/>
      <c r="E167" s="122"/>
      <c r="F167" s="122"/>
      <c r="G167" s="106">
        <f t="shared" si="106"/>
        <v>46210.933080000003</v>
      </c>
      <c r="H167" s="106">
        <f>SUM(H162:H166)</f>
        <v>46210.933080000003</v>
      </c>
      <c r="I167" s="106">
        <f t="shared" ref="I167:V167" si="107">SUM(I162:I166)</f>
        <v>6081.169348800001</v>
      </c>
      <c r="J167" s="106">
        <f t="shared" si="107"/>
        <v>0</v>
      </c>
      <c r="K167" s="106">
        <f t="shared" si="107"/>
        <v>0</v>
      </c>
      <c r="L167" s="106">
        <f t="shared" si="107"/>
        <v>0</v>
      </c>
      <c r="M167" s="106">
        <f t="shared" si="107"/>
        <v>0</v>
      </c>
      <c r="N167" s="106">
        <f t="shared" si="107"/>
        <v>0</v>
      </c>
      <c r="O167" s="106">
        <f t="shared" si="107"/>
        <v>0</v>
      </c>
      <c r="P167" s="106">
        <f t="shared" si="107"/>
        <v>0</v>
      </c>
      <c r="Q167" s="106">
        <f t="shared" si="107"/>
        <v>2921.77</v>
      </c>
      <c r="R167" s="106">
        <f t="shared" si="107"/>
        <v>0</v>
      </c>
      <c r="S167" s="106">
        <f t="shared" si="107"/>
        <v>0</v>
      </c>
      <c r="T167" s="106">
        <f t="shared" si="107"/>
        <v>2310.5466540000002</v>
      </c>
      <c r="U167" s="106">
        <f t="shared" si="107"/>
        <v>175761.17571360001</v>
      </c>
      <c r="V167" s="106">
        <f t="shared" si="107"/>
        <v>878805.87856800016</v>
      </c>
      <c r="W167" s="154"/>
    </row>
    <row r="168" spans="1:25" s="153" customFormat="1" ht="22.5" x14ac:dyDescent="0.2">
      <c r="A168" s="103">
        <v>152</v>
      </c>
      <c r="B168" s="113" t="s">
        <v>152</v>
      </c>
      <c r="C168" s="114">
        <v>16</v>
      </c>
      <c r="D168" s="114"/>
      <c r="E168" s="114"/>
      <c r="F168" s="114"/>
      <c r="G168" s="119">
        <f t="shared" si="106"/>
        <v>74627.612280000001</v>
      </c>
      <c r="H168" s="119">
        <f>H167+H160</f>
        <v>74627.612280000001</v>
      </c>
      <c r="I168" s="119">
        <f t="shared" ref="I168:V168" si="108">I167+I160</f>
        <v>6081.169348800001</v>
      </c>
      <c r="J168" s="125">
        <f t="shared" si="108"/>
        <v>0</v>
      </c>
      <c r="K168" s="125">
        <f t="shared" si="108"/>
        <v>0</v>
      </c>
      <c r="L168" s="125">
        <f t="shared" si="108"/>
        <v>0</v>
      </c>
      <c r="M168" s="125">
        <f t="shared" si="108"/>
        <v>0</v>
      </c>
      <c r="N168" s="125">
        <f t="shared" si="108"/>
        <v>0</v>
      </c>
      <c r="O168" s="125">
        <f t="shared" si="108"/>
        <v>0</v>
      </c>
      <c r="P168" s="125">
        <f t="shared" si="108"/>
        <v>0</v>
      </c>
      <c r="Q168" s="125">
        <f t="shared" si="108"/>
        <v>3399.41</v>
      </c>
      <c r="R168" s="125">
        <f t="shared" si="108"/>
        <v>0</v>
      </c>
      <c r="S168" s="125">
        <f t="shared" si="108"/>
        <v>0</v>
      </c>
      <c r="T168" s="119">
        <f t="shared" si="108"/>
        <v>4543.285734000001</v>
      </c>
      <c r="U168" s="119">
        <f t="shared" si="108"/>
        <v>220153.37963360001</v>
      </c>
      <c r="V168" s="119">
        <f t="shared" si="108"/>
        <v>1100766.8981680002</v>
      </c>
      <c r="W168" s="154"/>
      <c r="X168" s="152"/>
      <c r="Y168" s="152"/>
    </row>
    <row r="169" spans="1:25" s="142" customFormat="1" ht="11.25" x14ac:dyDescent="0.2">
      <c r="A169" s="103">
        <v>153</v>
      </c>
      <c r="B169" s="99" t="s">
        <v>71</v>
      </c>
      <c r="C169" s="105"/>
      <c r="D169" s="105"/>
      <c r="E169" s="105"/>
      <c r="F169" s="105"/>
      <c r="G169" s="106"/>
      <c r="H169" s="106"/>
      <c r="I169" s="106"/>
      <c r="J169" s="103"/>
      <c r="K169" s="108"/>
      <c r="L169" s="108"/>
      <c r="M169" s="103"/>
      <c r="N169" s="103"/>
      <c r="O169" s="103"/>
      <c r="P169" s="103"/>
      <c r="Q169" s="103"/>
      <c r="R169" s="103"/>
      <c r="S169" s="103"/>
      <c r="T169" s="106"/>
      <c r="U169" s="108"/>
      <c r="V169" s="106"/>
      <c r="W169" s="154"/>
      <c r="X169" s="150"/>
      <c r="Y169" s="150"/>
    </row>
    <row r="170" spans="1:25" s="74" customFormat="1" ht="11.25" x14ac:dyDescent="0.2">
      <c r="A170" s="103">
        <v>154</v>
      </c>
      <c r="B170" s="104" t="s">
        <v>18</v>
      </c>
      <c r="C170" s="105">
        <v>1</v>
      </c>
      <c r="D170" s="105">
        <v>2.4</v>
      </c>
      <c r="E170" s="105"/>
      <c r="F170" s="105"/>
      <c r="G170" s="106">
        <f>H170</f>
        <v>16238.1024</v>
      </c>
      <c r="H170" s="106">
        <f>2379*1.8*1.58*D170</f>
        <v>16238.1024</v>
      </c>
      <c r="I170" s="106"/>
      <c r="J170" s="261"/>
      <c r="K170" s="106">
        <v>0</v>
      </c>
      <c r="L170" s="108"/>
      <c r="M170" s="103"/>
      <c r="N170" s="103"/>
      <c r="O170" s="103"/>
      <c r="P170" s="103"/>
      <c r="Q170" s="103"/>
      <c r="R170" s="103"/>
      <c r="S170" s="107"/>
      <c r="T170" s="106">
        <f>H170*[1]чернетка!I122/100</f>
        <v>1623.81024</v>
      </c>
      <c r="U170" s="106">
        <f t="shared" ref="U170:U186" si="109">(H170+I170+P170+Q170+S170+T170)*C170</f>
        <v>17861.912639999999</v>
      </c>
      <c r="V170" s="106">
        <f t="shared" ref="V170:V174" si="110">U170*5</f>
        <v>89309.56319999999</v>
      </c>
      <c r="W170" s="154"/>
      <c r="X170" s="154"/>
      <c r="Y170" s="154"/>
    </row>
    <row r="171" spans="1:25" s="74" customFormat="1" ht="11.25" x14ac:dyDescent="0.2">
      <c r="A171" s="103">
        <v>155</v>
      </c>
      <c r="B171" s="104" t="s">
        <v>153</v>
      </c>
      <c r="C171" s="105">
        <v>1</v>
      </c>
      <c r="D171" s="111">
        <v>1.8</v>
      </c>
      <c r="E171" s="105"/>
      <c r="F171" s="105"/>
      <c r="G171" s="106">
        <f t="shared" ref="G171:G191" si="111">H171</f>
        <v>12178.576800000001</v>
      </c>
      <c r="H171" s="106">
        <f t="shared" ref="H171:H174" si="112">2379*1.8*1.58*D171</f>
        <v>12178.576800000001</v>
      </c>
      <c r="I171" s="106"/>
      <c r="J171" s="261"/>
      <c r="K171" s="106">
        <v>0</v>
      </c>
      <c r="L171" s="108"/>
      <c r="M171" s="103"/>
      <c r="N171" s="103"/>
      <c r="O171" s="103"/>
      <c r="P171" s="103"/>
      <c r="Q171" s="103"/>
      <c r="R171" s="103"/>
      <c r="S171" s="103"/>
      <c r="T171" s="106">
        <f>H171*[1]чернетка!I123/100</f>
        <v>608.92884000000004</v>
      </c>
      <c r="U171" s="106">
        <f t="shared" si="109"/>
        <v>12787.505640000001</v>
      </c>
      <c r="V171" s="106">
        <f t="shared" si="110"/>
        <v>63937.528200000008</v>
      </c>
      <c r="W171" s="154"/>
      <c r="X171" s="154"/>
      <c r="Y171" s="154"/>
    </row>
    <row r="172" spans="1:25" s="74" customFormat="1" ht="11.25" x14ac:dyDescent="0.2">
      <c r="A172" s="103">
        <v>156</v>
      </c>
      <c r="B172" s="104" t="s">
        <v>72</v>
      </c>
      <c r="C172" s="105">
        <v>1</v>
      </c>
      <c r="D172" s="105">
        <v>1.8</v>
      </c>
      <c r="E172" s="105"/>
      <c r="F172" s="105"/>
      <c r="G172" s="106">
        <f t="shared" si="111"/>
        <v>12178.576800000001</v>
      </c>
      <c r="H172" s="106">
        <f t="shared" si="112"/>
        <v>12178.576800000001</v>
      </c>
      <c r="I172" s="106"/>
      <c r="J172" s="261"/>
      <c r="K172" s="106">
        <v>0</v>
      </c>
      <c r="L172" s="108"/>
      <c r="M172" s="103"/>
      <c r="N172" s="103"/>
      <c r="O172" s="103"/>
      <c r="P172" s="107">
        <v>1386.78</v>
      </c>
      <c r="Q172" s="107">
        <v>358.23</v>
      </c>
      <c r="R172" s="103"/>
      <c r="S172" s="103"/>
      <c r="T172" s="106">
        <f>H172*[1]чернетка!I124/100</f>
        <v>608.92884000000004</v>
      </c>
      <c r="U172" s="106">
        <f t="shared" si="109"/>
        <v>14532.515640000001</v>
      </c>
      <c r="V172" s="106">
        <f t="shared" si="110"/>
        <v>72662.578200000004</v>
      </c>
      <c r="W172" s="154"/>
      <c r="X172" s="154"/>
      <c r="Y172" s="154"/>
    </row>
    <row r="173" spans="1:25" s="74" customFormat="1" ht="11.25" x14ac:dyDescent="0.2">
      <c r="A173" s="103">
        <v>157</v>
      </c>
      <c r="B173" s="104" t="s">
        <v>73</v>
      </c>
      <c r="C173" s="105">
        <v>3</v>
      </c>
      <c r="D173" s="105">
        <v>1.7</v>
      </c>
      <c r="E173" s="105"/>
      <c r="F173" s="105"/>
      <c r="G173" s="106">
        <f t="shared" si="111"/>
        <v>11501.9892</v>
      </c>
      <c r="H173" s="106">
        <f t="shared" si="112"/>
        <v>11501.9892</v>
      </c>
      <c r="I173" s="106"/>
      <c r="J173" s="261"/>
      <c r="K173" s="106">
        <v>0</v>
      </c>
      <c r="L173" s="108"/>
      <c r="M173" s="103"/>
      <c r="N173" s="103"/>
      <c r="O173" s="103"/>
      <c r="P173" s="107">
        <v>3929.35</v>
      </c>
      <c r="Q173" s="107">
        <v>1015.02</v>
      </c>
      <c r="R173" s="103"/>
      <c r="S173" s="103"/>
      <c r="T173" s="106">
        <f>H173*[1]чернетка!I125/100</f>
        <v>575.09945999999991</v>
      </c>
      <c r="U173" s="106">
        <f t="shared" si="109"/>
        <v>51064.375979999997</v>
      </c>
      <c r="V173" s="106">
        <f t="shared" si="110"/>
        <v>255321.8799</v>
      </c>
      <c r="W173" s="154"/>
      <c r="X173" s="154"/>
      <c r="Y173" s="154"/>
    </row>
    <row r="174" spans="1:25" s="74" customFormat="1" ht="11.25" x14ac:dyDescent="0.2">
      <c r="A174" s="103">
        <v>158</v>
      </c>
      <c r="B174" s="104" t="s">
        <v>74</v>
      </c>
      <c r="C174" s="105">
        <v>0.5</v>
      </c>
      <c r="D174" s="105">
        <v>1.5</v>
      </c>
      <c r="E174" s="105"/>
      <c r="F174" s="105"/>
      <c r="G174" s="106">
        <f t="shared" si="111"/>
        <v>10148.814</v>
      </c>
      <c r="H174" s="106">
        <f t="shared" si="112"/>
        <v>10148.814</v>
      </c>
      <c r="I174" s="106"/>
      <c r="J174" s="261"/>
      <c r="K174" s="106">
        <v>0</v>
      </c>
      <c r="L174" s="108"/>
      <c r="M174" s="103"/>
      <c r="N174" s="103"/>
      <c r="O174" s="103"/>
      <c r="P174" s="107"/>
      <c r="Q174" s="107"/>
      <c r="R174" s="103"/>
      <c r="S174" s="103"/>
      <c r="T174" s="106">
        <f>H174*[1]чернетка!I126/100</f>
        <v>507.44069999999999</v>
      </c>
      <c r="U174" s="106">
        <f t="shared" si="109"/>
        <v>5328.1273499999998</v>
      </c>
      <c r="V174" s="106">
        <f t="shared" si="110"/>
        <v>26640.636749999998</v>
      </c>
      <c r="W174" s="154"/>
      <c r="X174" s="154"/>
      <c r="Y174" s="154"/>
    </row>
    <row r="175" spans="1:25" s="142" customFormat="1" ht="39" customHeight="1" x14ac:dyDescent="0.2">
      <c r="A175" s="103">
        <v>159</v>
      </c>
      <c r="B175" s="104" t="s">
        <v>154</v>
      </c>
      <c r="C175" s="105">
        <v>6.5</v>
      </c>
      <c r="D175" s="105"/>
      <c r="E175" s="105"/>
      <c r="F175" s="105"/>
      <c r="G175" s="106">
        <f t="shared" si="111"/>
        <v>62246.059200000003</v>
      </c>
      <c r="H175" s="106">
        <f>SUM(H170:H174)</f>
        <v>62246.059200000003</v>
      </c>
      <c r="I175" s="106">
        <f t="shared" ref="I175:V175" si="113">SUM(I170:I174)</f>
        <v>0</v>
      </c>
      <c r="J175" s="107">
        <f t="shared" si="113"/>
        <v>0</v>
      </c>
      <c r="K175" s="107">
        <f t="shared" si="113"/>
        <v>0</v>
      </c>
      <c r="L175" s="107">
        <f t="shared" si="113"/>
        <v>0</v>
      </c>
      <c r="M175" s="107">
        <f t="shared" si="113"/>
        <v>0</v>
      </c>
      <c r="N175" s="107">
        <f t="shared" si="113"/>
        <v>0</v>
      </c>
      <c r="O175" s="107">
        <f t="shared" si="113"/>
        <v>0</v>
      </c>
      <c r="P175" s="107">
        <f t="shared" si="113"/>
        <v>5316.13</v>
      </c>
      <c r="Q175" s="107">
        <f t="shared" si="113"/>
        <v>1373.25</v>
      </c>
      <c r="R175" s="107">
        <f t="shared" si="113"/>
        <v>0</v>
      </c>
      <c r="S175" s="107">
        <f t="shared" si="113"/>
        <v>0</v>
      </c>
      <c r="T175" s="106">
        <f t="shared" si="113"/>
        <v>3924.2080800000003</v>
      </c>
      <c r="U175" s="106">
        <f t="shared" si="113"/>
        <v>101574.43724999999</v>
      </c>
      <c r="V175" s="106">
        <f t="shared" si="113"/>
        <v>507872.18625000003</v>
      </c>
      <c r="W175" s="154"/>
      <c r="X175" s="150"/>
      <c r="Y175" s="150"/>
    </row>
    <row r="176" spans="1:25" s="74" customFormat="1" ht="11.25" x14ac:dyDescent="0.2">
      <c r="A176" s="103">
        <v>160</v>
      </c>
      <c r="B176" s="104" t="s">
        <v>75</v>
      </c>
      <c r="C176" s="105">
        <v>2</v>
      </c>
      <c r="D176" s="105" t="s">
        <v>123</v>
      </c>
      <c r="E176" s="105">
        <v>1.54</v>
      </c>
      <c r="F176" s="122">
        <f t="shared" ref="F176:F180" si="114">H176/166.17</f>
        <v>62.703550821447926</v>
      </c>
      <c r="G176" s="106">
        <f t="shared" si="111"/>
        <v>10419.449040000001</v>
      </c>
      <c r="H176" s="106">
        <f t="shared" ref="H176:H180" si="115">2379*1.8*1.58*E176</f>
        <v>10419.449040000001</v>
      </c>
      <c r="I176" s="106">
        <f>H176*8/100</f>
        <v>833.55592320000005</v>
      </c>
      <c r="J176" s="261"/>
      <c r="K176" s="106">
        <v>0</v>
      </c>
      <c r="L176" s="108"/>
      <c r="M176" s="103"/>
      <c r="N176" s="103"/>
      <c r="O176" s="103"/>
      <c r="P176" s="103"/>
      <c r="Q176" s="107">
        <v>613.03</v>
      </c>
      <c r="R176" s="103"/>
      <c r="S176" s="103"/>
      <c r="T176" s="106">
        <f>H176*[1]чернетка!I127/100</f>
        <v>520.97245200000009</v>
      </c>
      <c r="U176" s="106">
        <f t="shared" si="109"/>
        <v>24774.014830400003</v>
      </c>
      <c r="V176" s="106">
        <f t="shared" ref="V176:V186" si="116">U176*5</f>
        <v>123870.07415200002</v>
      </c>
      <c r="W176" s="154"/>
      <c r="X176" s="154"/>
      <c r="Y176" s="154"/>
    </row>
    <row r="177" spans="1:25" s="74" customFormat="1" ht="11.25" x14ac:dyDescent="0.2">
      <c r="A177" s="103">
        <v>161</v>
      </c>
      <c r="B177" s="104" t="s">
        <v>75</v>
      </c>
      <c r="C177" s="105">
        <v>2</v>
      </c>
      <c r="D177" s="105" t="s">
        <v>139</v>
      </c>
      <c r="E177" s="105">
        <v>1.8</v>
      </c>
      <c r="F177" s="122">
        <f t="shared" si="114"/>
        <v>73.289864596497566</v>
      </c>
      <c r="G177" s="106">
        <f t="shared" si="111"/>
        <v>12178.576800000001</v>
      </c>
      <c r="H177" s="106">
        <f t="shared" si="115"/>
        <v>12178.576800000001</v>
      </c>
      <c r="I177" s="106">
        <f>H177*8/100</f>
        <v>974.28614400000004</v>
      </c>
      <c r="J177" s="261"/>
      <c r="K177" s="106">
        <v>0</v>
      </c>
      <c r="L177" s="108"/>
      <c r="M177" s="103"/>
      <c r="N177" s="103"/>
      <c r="O177" s="103"/>
      <c r="P177" s="103"/>
      <c r="Q177" s="107">
        <v>716.43</v>
      </c>
      <c r="R177" s="103"/>
      <c r="S177" s="103"/>
      <c r="T177" s="106">
        <f>H177*[1]чернетка!I128/100</f>
        <v>608.92884000000004</v>
      </c>
      <c r="U177" s="106">
        <f t="shared" si="109"/>
        <v>28956.443568000002</v>
      </c>
      <c r="V177" s="106">
        <f t="shared" si="116"/>
        <v>144782.21784</v>
      </c>
      <c r="W177" s="154"/>
      <c r="X177" s="154"/>
      <c r="Y177" s="154"/>
    </row>
    <row r="178" spans="1:25" s="74" customFormat="1" ht="11.25" x14ac:dyDescent="0.2">
      <c r="A178" s="103">
        <v>162</v>
      </c>
      <c r="B178" s="104" t="s">
        <v>76</v>
      </c>
      <c r="C178" s="105">
        <v>1</v>
      </c>
      <c r="D178" s="105" t="s">
        <v>115</v>
      </c>
      <c r="E178" s="105">
        <v>1.35</v>
      </c>
      <c r="F178" s="122">
        <f t="shared" si="114"/>
        <v>54.967398447373178</v>
      </c>
      <c r="G178" s="106">
        <f t="shared" si="111"/>
        <v>9133.9326000000001</v>
      </c>
      <c r="H178" s="106">
        <f t="shared" si="115"/>
        <v>9133.9326000000001</v>
      </c>
      <c r="I178" s="106">
        <f>H178*4/100</f>
        <v>365.357304</v>
      </c>
      <c r="J178" s="261"/>
      <c r="K178" s="106">
        <v>0</v>
      </c>
      <c r="L178" s="108"/>
      <c r="M178" s="103"/>
      <c r="N178" s="103"/>
      <c r="O178" s="103"/>
      <c r="P178" s="103"/>
      <c r="Q178" s="107"/>
      <c r="R178" s="103"/>
      <c r="S178" s="103"/>
      <c r="T178" s="106">
        <f>H178*[1]чернетка!I129/100</f>
        <v>456.69663000000003</v>
      </c>
      <c r="U178" s="106">
        <f t="shared" si="109"/>
        <v>9955.9865339999997</v>
      </c>
      <c r="V178" s="106">
        <f t="shared" si="116"/>
        <v>49779.932669999995</v>
      </c>
      <c r="W178" s="154"/>
      <c r="X178" s="154"/>
      <c r="Y178" s="154"/>
    </row>
    <row r="179" spans="1:25" s="74" customFormat="1" ht="11.25" x14ac:dyDescent="0.2">
      <c r="A179" s="103">
        <v>163</v>
      </c>
      <c r="B179" s="104" t="s">
        <v>30</v>
      </c>
      <c r="C179" s="105">
        <v>1</v>
      </c>
      <c r="D179" s="105" t="s">
        <v>123</v>
      </c>
      <c r="E179" s="105">
        <v>1.54</v>
      </c>
      <c r="F179" s="122">
        <f t="shared" si="114"/>
        <v>62.703550821447926</v>
      </c>
      <c r="G179" s="106">
        <f t="shared" si="111"/>
        <v>10419.449040000001</v>
      </c>
      <c r="H179" s="106">
        <f t="shared" si="115"/>
        <v>10419.449040000001</v>
      </c>
      <c r="I179" s="106">
        <f>H179*4/100</f>
        <v>416.77796160000003</v>
      </c>
      <c r="J179" s="261"/>
      <c r="K179" s="106">
        <v>0</v>
      </c>
      <c r="L179" s="108"/>
      <c r="M179" s="103"/>
      <c r="N179" s="103"/>
      <c r="O179" s="103"/>
      <c r="P179" s="103"/>
      <c r="Q179" s="103"/>
      <c r="R179" s="103"/>
      <c r="S179" s="103"/>
      <c r="T179" s="106">
        <f>H179*[1]чернетка!I130/100</f>
        <v>520.97245200000009</v>
      </c>
      <c r="U179" s="106">
        <f t="shared" si="109"/>
        <v>11357.199453600002</v>
      </c>
      <c r="V179" s="106">
        <f t="shared" si="116"/>
        <v>56785.997268000006</v>
      </c>
      <c r="W179" s="154"/>
      <c r="X179" s="154"/>
      <c r="Y179" s="154"/>
    </row>
    <row r="180" spans="1:25" s="74" customFormat="1" ht="37.5" customHeight="1" x14ac:dyDescent="0.2">
      <c r="A180" s="103">
        <v>164</v>
      </c>
      <c r="B180" s="104" t="s">
        <v>77</v>
      </c>
      <c r="C180" s="105">
        <v>1</v>
      </c>
      <c r="D180" s="105" t="s">
        <v>123</v>
      </c>
      <c r="E180" s="105">
        <v>1.54</v>
      </c>
      <c r="F180" s="122">
        <f t="shared" si="114"/>
        <v>62.703550821447926</v>
      </c>
      <c r="G180" s="106">
        <f t="shared" si="111"/>
        <v>10419.449040000001</v>
      </c>
      <c r="H180" s="106">
        <f t="shared" si="115"/>
        <v>10419.449040000001</v>
      </c>
      <c r="I180" s="106">
        <f>H180*8/100</f>
        <v>833.55592320000005</v>
      </c>
      <c r="J180" s="261"/>
      <c r="K180" s="106">
        <v>0</v>
      </c>
      <c r="L180" s="108"/>
      <c r="M180" s="103"/>
      <c r="N180" s="103"/>
      <c r="O180" s="103"/>
      <c r="P180" s="103"/>
      <c r="Q180" s="103"/>
      <c r="R180" s="103"/>
      <c r="S180" s="103"/>
      <c r="T180" s="106">
        <f>H180*[1]чернетка!I131/100</f>
        <v>520.97245200000009</v>
      </c>
      <c r="U180" s="106">
        <f t="shared" si="109"/>
        <v>11773.977415200001</v>
      </c>
      <c r="V180" s="106">
        <f t="shared" si="116"/>
        <v>58869.887076000006</v>
      </c>
      <c r="W180" s="154"/>
      <c r="X180" s="154"/>
      <c r="Y180" s="154"/>
    </row>
    <row r="181" spans="1:25" s="74" customFormat="1" ht="22.5" x14ac:dyDescent="0.2">
      <c r="A181" s="103">
        <v>165</v>
      </c>
      <c r="B181" s="104" t="s">
        <v>155</v>
      </c>
      <c r="C181" s="105">
        <v>1</v>
      </c>
      <c r="D181" s="105">
        <v>1.58</v>
      </c>
      <c r="E181" s="105"/>
      <c r="F181" s="122"/>
      <c r="G181" s="106">
        <f t="shared" si="111"/>
        <v>6765.8760000000002</v>
      </c>
      <c r="H181" s="106">
        <f t="shared" ref="H181:H186" si="117">2379*1.8*D181</f>
        <v>6765.8760000000002</v>
      </c>
      <c r="I181" s="106">
        <f>H181*6/100</f>
        <v>405.95256000000001</v>
      </c>
      <c r="J181" s="261"/>
      <c r="K181" s="106">
        <v>0</v>
      </c>
      <c r="L181" s="108">
        <f>H181*25/100</f>
        <v>1691.4690000000001</v>
      </c>
      <c r="M181" s="103"/>
      <c r="N181" s="103"/>
      <c r="O181" s="103"/>
      <c r="P181" s="103"/>
      <c r="Q181" s="103"/>
      <c r="R181" s="107">
        <f>H181*25/100</f>
        <v>1691.4690000000001</v>
      </c>
      <c r="S181" s="103"/>
      <c r="T181" s="106">
        <f>H181*[1]чернетка!I132/100</f>
        <v>338.29380000000003</v>
      </c>
      <c r="U181" s="106">
        <f t="shared" si="109"/>
        <v>7510.1223600000003</v>
      </c>
      <c r="V181" s="106">
        <f t="shared" si="116"/>
        <v>37550.611799999999</v>
      </c>
      <c r="W181" s="154"/>
      <c r="X181" s="154"/>
      <c r="Y181" s="154"/>
    </row>
    <row r="182" spans="1:25" s="74" customFormat="1" ht="22.5" x14ac:dyDescent="0.2">
      <c r="A182" s="103">
        <v>166</v>
      </c>
      <c r="B182" s="104" t="s">
        <v>156</v>
      </c>
      <c r="C182" s="105">
        <v>8</v>
      </c>
      <c r="D182" s="105">
        <v>1.76</v>
      </c>
      <c r="E182" s="105"/>
      <c r="F182" s="122"/>
      <c r="G182" s="106">
        <f t="shared" si="111"/>
        <v>7536.6719999999996</v>
      </c>
      <c r="H182" s="106">
        <f t="shared" si="117"/>
        <v>7536.6719999999996</v>
      </c>
      <c r="I182" s="106">
        <f>H182*32/100</f>
        <v>2411.73504</v>
      </c>
      <c r="J182" s="261"/>
      <c r="K182" s="106">
        <v>0</v>
      </c>
      <c r="L182" s="108">
        <f>H182*20/100</f>
        <v>1507.3344</v>
      </c>
      <c r="M182" s="103"/>
      <c r="N182" s="103"/>
      <c r="O182" s="103"/>
      <c r="P182" s="107">
        <v>6866.14</v>
      </c>
      <c r="Q182" s="107">
        <v>1773.64</v>
      </c>
      <c r="R182" s="103"/>
      <c r="S182" s="103"/>
      <c r="T182" s="106">
        <f>H182*[1]чернетка!I133/100</f>
        <v>376.83359999999999</v>
      </c>
      <c r="U182" s="106">
        <f t="shared" si="109"/>
        <v>151720.16512000002</v>
      </c>
      <c r="V182" s="106">
        <f t="shared" si="116"/>
        <v>758600.8256000001</v>
      </c>
      <c r="W182" s="154"/>
      <c r="X182" s="154"/>
      <c r="Y182" s="154"/>
    </row>
    <row r="183" spans="1:25" s="74" customFormat="1" ht="54.75" customHeight="1" x14ac:dyDescent="0.2">
      <c r="A183" s="103">
        <v>167</v>
      </c>
      <c r="B183" s="104" t="s">
        <v>157</v>
      </c>
      <c r="C183" s="105">
        <v>1</v>
      </c>
      <c r="D183" s="105">
        <v>2.14</v>
      </c>
      <c r="E183" s="105"/>
      <c r="F183" s="122"/>
      <c r="G183" s="106">
        <f t="shared" si="111"/>
        <v>9163.9079999999994</v>
      </c>
      <c r="H183" s="106">
        <f t="shared" si="117"/>
        <v>9163.9079999999994</v>
      </c>
      <c r="I183" s="106">
        <f t="shared" ref="I183:I186" si="118">H183*4/100</f>
        <v>366.55631999999997</v>
      </c>
      <c r="J183" s="261"/>
      <c r="K183" s="106">
        <v>0</v>
      </c>
      <c r="L183" s="108">
        <f>H183*25/100</f>
        <v>2290.9769999999999</v>
      </c>
      <c r="M183" s="103"/>
      <c r="N183" s="103"/>
      <c r="O183" s="103"/>
      <c r="P183" s="103"/>
      <c r="Q183" s="107">
        <v>269.56</v>
      </c>
      <c r="R183" s="103"/>
      <c r="S183" s="103"/>
      <c r="T183" s="106">
        <f>H183*[1]чернетка!I134/100</f>
        <v>458.19539999999995</v>
      </c>
      <c r="U183" s="106">
        <f t="shared" si="109"/>
        <v>10258.219719999999</v>
      </c>
      <c r="V183" s="106">
        <f t="shared" si="116"/>
        <v>51291.098599999998</v>
      </c>
      <c r="W183" s="154"/>
      <c r="X183" s="154"/>
      <c r="Y183" s="154"/>
    </row>
    <row r="184" spans="1:25" s="74" customFormat="1" ht="33.75" x14ac:dyDescent="0.2">
      <c r="A184" s="103">
        <v>168</v>
      </c>
      <c r="B184" s="104" t="s">
        <v>158</v>
      </c>
      <c r="C184" s="105">
        <v>2</v>
      </c>
      <c r="D184" s="105">
        <v>2.2200000000000002</v>
      </c>
      <c r="E184" s="105"/>
      <c r="F184" s="122"/>
      <c r="G184" s="106">
        <f t="shared" si="111"/>
        <v>9506.4840000000004</v>
      </c>
      <c r="H184" s="106">
        <f t="shared" si="117"/>
        <v>9506.4840000000004</v>
      </c>
      <c r="I184" s="106">
        <f>H184*8/100</f>
        <v>760.51872000000003</v>
      </c>
      <c r="J184" s="261"/>
      <c r="K184" s="106">
        <v>0</v>
      </c>
      <c r="L184" s="108">
        <f>H184*50/100</f>
        <v>4753.2420000000002</v>
      </c>
      <c r="M184" s="103"/>
      <c r="N184" s="103"/>
      <c r="O184" s="103"/>
      <c r="P184" s="107">
        <v>2164.94</v>
      </c>
      <c r="Q184" s="107">
        <v>559.24</v>
      </c>
      <c r="R184" s="103"/>
      <c r="S184" s="103"/>
      <c r="T184" s="106">
        <f>H184*[1]чернетка!I135/100</f>
        <v>475.32419999999996</v>
      </c>
      <c r="U184" s="106">
        <f t="shared" si="109"/>
        <v>26933.01384</v>
      </c>
      <c r="V184" s="106">
        <f t="shared" si="116"/>
        <v>134665.0692</v>
      </c>
      <c r="W184" s="154"/>
      <c r="X184" s="154"/>
      <c r="Y184" s="154"/>
    </row>
    <row r="185" spans="1:25" s="74" customFormat="1" ht="11.25" x14ac:dyDescent="0.2">
      <c r="A185" s="103">
        <v>169</v>
      </c>
      <c r="B185" s="104" t="s">
        <v>78</v>
      </c>
      <c r="C185" s="105">
        <v>1</v>
      </c>
      <c r="D185" s="105">
        <v>1.26</v>
      </c>
      <c r="E185" s="105"/>
      <c r="F185" s="105"/>
      <c r="G185" s="106">
        <f t="shared" si="111"/>
        <v>5395.5720000000001</v>
      </c>
      <c r="H185" s="106">
        <f t="shared" si="117"/>
        <v>5395.5720000000001</v>
      </c>
      <c r="I185" s="106">
        <f t="shared" si="118"/>
        <v>215.82288</v>
      </c>
      <c r="J185" s="261"/>
      <c r="K185" s="106">
        <v>0</v>
      </c>
      <c r="L185" s="108"/>
      <c r="M185" s="103"/>
      <c r="N185" s="103"/>
      <c r="O185" s="103"/>
      <c r="P185" s="103"/>
      <c r="Q185" s="103"/>
      <c r="R185" s="103"/>
      <c r="S185" s="107">
        <v>1204</v>
      </c>
      <c r="T185" s="106">
        <f>H185*[1]чернетка!I136/100</f>
        <v>269.77859999999998</v>
      </c>
      <c r="U185" s="106">
        <f t="shared" si="109"/>
        <v>7085.1734799999995</v>
      </c>
      <c r="V185" s="106">
        <f t="shared" si="116"/>
        <v>35425.867399999996</v>
      </c>
      <c r="W185" s="154"/>
      <c r="X185" s="154"/>
      <c r="Y185" s="154"/>
    </row>
    <row r="186" spans="1:25" s="74" customFormat="1" ht="22.5" x14ac:dyDescent="0.2">
      <c r="A186" s="103">
        <v>170</v>
      </c>
      <c r="B186" s="104" t="s">
        <v>32</v>
      </c>
      <c r="C186" s="105">
        <v>1</v>
      </c>
      <c r="D186" s="105">
        <v>1.2</v>
      </c>
      <c r="E186" s="105"/>
      <c r="F186" s="105"/>
      <c r="G186" s="106">
        <f t="shared" si="111"/>
        <v>5138.6399999999994</v>
      </c>
      <c r="H186" s="106">
        <f t="shared" si="117"/>
        <v>5138.6399999999994</v>
      </c>
      <c r="I186" s="106">
        <f t="shared" si="118"/>
        <v>205.54559999999998</v>
      </c>
      <c r="J186" s="261"/>
      <c r="K186" s="106">
        <v>0</v>
      </c>
      <c r="L186" s="108"/>
      <c r="M186" s="103"/>
      <c r="N186" s="103"/>
      <c r="O186" s="103"/>
      <c r="P186" s="103"/>
      <c r="Q186" s="103"/>
      <c r="R186" s="103"/>
      <c r="S186" s="107">
        <v>2003</v>
      </c>
      <c r="T186" s="106">
        <f>H186*[1]чернетка!I137/100</f>
        <v>256.93199999999996</v>
      </c>
      <c r="U186" s="106">
        <f t="shared" si="109"/>
        <v>7604.1175999999996</v>
      </c>
      <c r="V186" s="106">
        <f t="shared" si="116"/>
        <v>38020.587999999996</v>
      </c>
      <c r="W186" s="154"/>
      <c r="X186" s="154"/>
      <c r="Y186" s="154"/>
    </row>
    <row r="187" spans="1:25" s="150" customFormat="1" ht="38.25" customHeight="1" x14ac:dyDescent="0.2">
      <c r="A187" s="103">
        <v>171</v>
      </c>
      <c r="B187" s="104" t="s">
        <v>159</v>
      </c>
      <c r="C187" s="105">
        <v>21</v>
      </c>
      <c r="D187" s="105"/>
      <c r="E187" s="105"/>
      <c r="F187" s="105"/>
      <c r="G187" s="106">
        <f t="shared" si="111"/>
        <v>96078.008520000003</v>
      </c>
      <c r="H187" s="106">
        <f>SUM(H176:H186)</f>
        <v>96078.008520000003</v>
      </c>
      <c r="I187" s="106">
        <f t="shared" ref="I187:V187" si="119">SUM(I176:I186)</f>
        <v>7789.6643759999997</v>
      </c>
      <c r="J187" s="106">
        <f t="shared" si="119"/>
        <v>0</v>
      </c>
      <c r="K187" s="106">
        <f t="shared" si="119"/>
        <v>0</v>
      </c>
      <c r="L187" s="106">
        <f t="shared" si="119"/>
        <v>10243.0224</v>
      </c>
      <c r="M187" s="106">
        <f t="shared" si="119"/>
        <v>0</v>
      </c>
      <c r="N187" s="106">
        <f t="shared" si="119"/>
        <v>0</v>
      </c>
      <c r="O187" s="106">
        <f t="shared" si="119"/>
        <v>0</v>
      </c>
      <c r="P187" s="106">
        <f t="shared" si="119"/>
        <v>9031.08</v>
      </c>
      <c r="Q187" s="106">
        <f t="shared" si="119"/>
        <v>3931.9000000000005</v>
      </c>
      <c r="R187" s="106">
        <f t="shared" si="119"/>
        <v>1691.4690000000001</v>
      </c>
      <c r="S187" s="106">
        <f t="shared" si="119"/>
        <v>3207</v>
      </c>
      <c r="T187" s="106">
        <f t="shared" si="119"/>
        <v>4803.9004259999992</v>
      </c>
      <c r="U187" s="106">
        <f t="shared" si="119"/>
        <v>297928.43392119999</v>
      </c>
      <c r="V187" s="106">
        <f t="shared" si="119"/>
        <v>1489642.1696060002</v>
      </c>
    </row>
    <row r="188" spans="1:25" s="153" customFormat="1" ht="39" customHeight="1" x14ac:dyDescent="0.2">
      <c r="A188" s="103">
        <v>172</v>
      </c>
      <c r="B188" s="113" t="s">
        <v>79</v>
      </c>
      <c r="C188" s="117">
        <v>27.5</v>
      </c>
      <c r="D188" s="117"/>
      <c r="E188" s="117"/>
      <c r="F188" s="117"/>
      <c r="G188" s="119">
        <f t="shared" si="111"/>
        <v>158324.06771999999</v>
      </c>
      <c r="H188" s="119">
        <f>H187+H175</f>
        <v>158324.06771999999</v>
      </c>
      <c r="I188" s="119">
        <f t="shared" ref="I188:V188" si="120">I187+I175</f>
        <v>7789.6643759999997</v>
      </c>
      <c r="J188" s="119">
        <f t="shared" si="120"/>
        <v>0</v>
      </c>
      <c r="K188" s="119">
        <f t="shared" si="120"/>
        <v>0</v>
      </c>
      <c r="L188" s="119">
        <f t="shared" si="120"/>
        <v>10243.0224</v>
      </c>
      <c r="M188" s="119">
        <f t="shared" si="120"/>
        <v>0</v>
      </c>
      <c r="N188" s="119">
        <f t="shared" si="120"/>
        <v>0</v>
      </c>
      <c r="O188" s="119">
        <f t="shared" si="120"/>
        <v>0</v>
      </c>
      <c r="P188" s="119">
        <f t="shared" si="120"/>
        <v>14347.21</v>
      </c>
      <c r="Q188" s="119">
        <f t="shared" si="120"/>
        <v>5305.1500000000005</v>
      </c>
      <c r="R188" s="119">
        <f t="shared" si="120"/>
        <v>1691.4690000000001</v>
      </c>
      <c r="S188" s="119">
        <f t="shared" si="120"/>
        <v>3207</v>
      </c>
      <c r="T188" s="119">
        <f t="shared" si="120"/>
        <v>8728.1085060000005</v>
      </c>
      <c r="U188" s="119">
        <f t="shared" si="120"/>
        <v>399502.87117119995</v>
      </c>
      <c r="V188" s="119">
        <f t="shared" si="120"/>
        <v>1997514.3558560002</v>
      </c>
      <c r="W188" s="152"/>
      <c r="X188" s="152"/>
      <c r="Y188" s="152"/>
    </row>
    <row r="189" spans="1:25" s="73" customFormat="1" ht="21" x14ac:dyDescent="0.2">
      <c r="A189" s="103">
        <v>173</v>
      </c>
      <c r="B189" s="97" t="s">
        <v>160</v>
      </c>
      <c r="C189" s="264">
        <v>55</v>
      </c>
      <c r="D189" s="106"/>
      <c r="E189" s="106"/>
      <c r="F189" s="106"/>
      <c r="G189" s="106">
        <f t="shared" si="111"/>
        <v>676722.91752000013</v>
      </c>
      <c r="H189" s="106">
        <f t="shared" ref="H189:V189" si="121">H32+H49+H93+H101+H129+H136+H160+H175</f>
        <v>676722.91752000013</v>
      </c>
      <c r="I189" s="106">
        <f t="shared" si="121"/>
        <v>0</v>
      </c>
      <c r="J189" s="106">
        <f t="shared" si="121"/>
        <v>0</v>
      </c>
      <c r="K189" s="106">
        <f t="shared" si="121"/>
        <v>0</v>
      </c>
      <c r="L189" s="106">
        <f t="shared" si="121"/>
        <v>0</v>
      </c>
      <c r="M189" s="106">
        <f t="shared" si="121"/>
        <v>0</v>
      </c>
      <c r="N189" s="106">
        <f t="shared" si="121"/>
        <v>0</v>
      </c>
      <c r="O189" s="106">
        <f t="shared" si="121"/>
        <v>0</v>
      </c>
      <c r="P189" s="106">
        <f t="shared" si="121"/>
        <v>5316.13</v>
      </c>
      <c r="Q189" s="106">
        <f t="shared" si="121"/>
        <v>2806.17</v>
      </c>
      <c r="R189" s="106">
        <f t="shared" si="121"/>
        <v>0</v>
      </c>
      <c r="S189" s="106">
        <f t="shared" si="121"/>
        <v>0</v>
      </c>
      <c r="T189" s="106">
        <f t="shared" si="121"/>
        <v>94272.333245999995</v>
      </c>
      <c r="U189" s="106">
        <f t="shared" si="121"/>
        <v>854601.70434299996</v>
      </c>
      <c r="V189" s="106">
        <f t="shared" si="121"/>
        <v>4273008.5217150003</v>
      </c>
      <c r="W189" s="133"/>
      <c r="X189" s="133"/>
      <c r="Y189" s="133"/>
    </row>
    <row r="190" spans="1:25" s="73" customFormat="1" ht="31.5" x14ac:dyDescent="0.2">
      <c r="A190" s="103">
        <v>174</v>
      </c>
      <c r="B190" s="97" t="s">
        <v>161</v>
      </c>
      <c r="C190" s="264">
        <v>141</v>
      </c>
      <c r="D190" s="106"/>
      <c r="E190" s="106"/>
      <c r="F190" s="106"/>
      <c r="G190" s="106">
        <f t="shared" si="111"/>
        <v>547337.95740000007</v>
      </c>
      <c r="H190" s="106">
        <f t="shared" ref="H190:V190" si="122">H50+H94+H123+H131+H155+H167+H187</f>
        <v>547337.95740000007</v>
      </c>
      <c r="I190" s="106">
        <f t="shared" si="122"/>
        <v>53925.222171600006</v>
      </c>
      <c r="J190" s="106">
        <f t="shared" si="122"/>
        <v>0</v>
      </c>
      <c r="K190" s="106">
        <f t="shared" si="122"/>
        <v>0</v>
      </c>
      <c r="L190" s="106">
        <f t="shared" si="122"/>
        <v>10243.0224</v>
      </c>
      <c r="M190" s="106">
        <f t="shared" si="122"/>
        <v>0</v>
      </c>
      <c r="N190" s="106">
        <f t="shared" si="122"/>
        <v>0</v>
      </c>
      <c r="O190" s="106">
        <f t="shared" si="122"/>
        <v>0</v>
      </c>
      <c r="P190" s="106">
        <f t="shared" si="122"/>
        <v>54361</v>
      </c>
      <c r="Q190" s="106">
        <f t="shared" si="122"/>
        <v>22384.300000000003</v>
      </c>
      <c r="R190" s="106">
        <f t="shared" si="122"/>
        <v>1691.4690000000001</v>
      </c>
      <c r="S190" s="106">
        <f t="shared" si="122"/>
        <v>8417</v>
      </c>
      <c r="T190" s="106">
        <f t="shared" si="122"/>
        <v>25929.149220000003</v>
      </c>
      <c r="U190" s="106">
        <f t="shared" si="122"/>
        <v>1844144.4058348003</v>
      </c>
      <c r="V190" s="106">
        <f t="shared" si="122"/>
        <v>9220722.029174</v>
      </c>
      <c r="W190" s="133"/>
      <c r="X190" s="133"/>
      <c r="Y190" s="133"/>
    </row>
    <row r="191" spans="1:25" s="73" customFormat="1" ht="21" x14ac:dyDescent="0.2">
      <c r="A191" s="103">
        <v>175</v>
      </c>
      <c r="B191" s="97" t="s">
        <v>162</v>
      </c>
      <c r="C191" s="264">
        <v>196</v>
      </c>
      <c r="D191" s="106"/>
      <c r="E191" s="106"/>
      <c r="F191" s="106"/>
      <c r="G191" s="106">
        <f t="shared" si="111"/>
        <v>1224060.8749200003</v>
      </c>
      <c r="H191" s="106">
        <f>H189+H190</f>
        <v>1224060.8749200003</v>
      </c>
      <c r="I191" s="106">
        <f t="shared" ref="I191:V191" si="123">I189+I190</f>
        <v>53925.222171600006</v>
      </c>
      <c r="J191" s="106">
        <f t="shared" si="123"/>
        <v>0</v>
      </c>
      <c r="K191" s="106">
        <f t="shared" si="123"/>
        <v>0</v>
      </c>
      <c r="L191" s="106">
        <f t="shared" si="123"/>
        <v>10243.0224</v>
      </c>
      <c r="M191" s="106">
        <f t="shared" si="123"/>
        <v>0</v>
      </c>
      <c r="N191" s="106">
        <f t="shared" si="123"/>
        <v>0</v>
      </c>
      <c r="O191" s="106">
        <f t="shared" si="123"/>
        <v>0</v>
      </c>
      <c r="P191" s="106">
        <f t="shared" si="123"/>
        <v>59677.13</v>
      </c>
      <c r="Q191" s="106">
        <f t="shared" si="123"/>
        <v>25190.47</v>
      </c>
      <c r="R191" s="106">
        <f t="shared" si="123"/>
        <v>1691.4690000000001</v>
      </c>
      <c r="S191" s="106">
        <f t="shared" si="123"/>
        <v>8417</v>
      </c>
      <c r="T191" s="106">
        <f t="shared" si="123"/>
        <v>120201.482466</v>
      </c>
      <c r="U191" s="106">
        <f t="shared" si="123"/>
        <v>2698746.1101778001</v>
      </c>
      <c r="V191" s="106">
        <f t="shared" si="123"/>
        <v>13493730.550889</v>
      </c>
      <c r="W191" s="133"/>
      <c r="X191" s="133"/>
      <c r="Y191" s="133"/>
    </row>
    <row r="192" spans="1:25" s="141" customFormat="1" ht="11.25" x14ac:dyDescent="0.2">
      <c r="A192" s="103">
        <v>176</v>
      </c>
      <c r="B192" s="270" t="s">
        <v>163</v>
      </c>
      <c r="C192" s="114"/>
      <c r="D192" s="118"/>
      <c r="E192" s="118"/>
      <c r="F192" s="118"/>
      <c r="G192" s="119"/>
      <c r="H192" s="119"/>
      <c r="I192" s="119"/>
      <c r="J192" s="125"/>
      <c r="K192" s="119"/>
      <c r="L192" s="119"/>
      <c r="M192" s="125"/>
      <c r="N192" s="125"/>
      <c r="O192" s="125"/>
      <c r="P192" s="125"/>
      <c r="Q192" s="125"/>
      <c r="R192" s="125"/>
      <c r="S192" s="125"/>
      <c r="T192" s="119"/>
      <c r="U192" s="684">
        <f>U191</f>
        <v>2698746.1101778001</v>
      </c>
      <c r="V192" s="684"/>
      <c r="W192" s="152"/>
      <c r="X192" s="152"/>
      <c r="Y192" s="152"/>
    </row>
    <row r="193" spans="1:28" s="141" customFormat="1" ht="32.25" x14ac:dyDescent="0.2">
      <c r="A193" s="103">
        <v>177</v>
      </c>
      <c r="B193" s="270" t="s">
        <v>264</v>
      </c>
      <c r="C193" s="114"/>
      <c r="D193" s="118"/>
      <c r="E193" s="118"/>
      <c r="F193" s="118"/>
      <c r="G193" s="119"/>
      <c r="H193" s="119"/>
      <c r="I193" s="119"/>
      <c r="J193" s="125"/>
      <c r="K193" s="119"/>
      <c r="L193" s="119"/>
      <c r="M193" s="125"/>
      <c r="N193" s="125"/>
      <c r="O193" s="125"/>
      <c r="P193" s="125"/>
      <c r="Q193" s="125"/>
      <c r="R193" s="125"/>
      <c r="S193" s="125"/>
      <c r="T193" s="119"/>
      <c r="U193" s="130">
        <f>V191</f>
        <v>13493730.550889</v>
      </c>
      <c r="V193" s="130"/>
      <c r="W193" s="152"/>
      <c r="X193" s="152"/>
      <c r="Y193" s="152"/>
    </row>
    <row r="194" spans="1:28" s="15" customFormat="1" x14ac:dyDescent="0.25">
      <c r="A194" s="271"/>
      <c r="B194" s="243"/>
      <c r="C194" s="75"/>
      <c r="D194" s="75"/>
      <c r="E194" s="75"/>
      <c r="F194" s="75"/>
      <c r="G194" s="133"/>
      <c r="H194" s="133"/>
      <c r="I194" s="133"/>
      <c r="J194" s="75"/>
      <c r="K194" s="133"/>
      <c r="L194" s="133"/>
      <c r="M194" s="154"/>
      <c r="N194" s="154"/>
      <c r="O194" s="154"/>
      <c r="P194" s="75"/>
      <c r="Q194" s="75"/>
      <c r="R194" s="154"/>
      <c r="S194" s="154"/>
      <c r="T194" s="241"/>
      <c r="U194" s="133"/>
      <c r="V194" s="241"/>
      <c r="W194" s="272"/>
      <c r="X194" s="272"/>
      <c r="Y194" s="272"/>
      <c r="Z194" s="14"/>
    </row>
    <row r="195" spans="1:28" s="43" customFormat="1" ht="46.5" customHeight="1" x14ac:dyDescent="0.25">
      <c r="A195" s="271"/>
      <c r="B195" s="124"/>
      <c r="C195" s="273"/>
      <c r="D195" s="274"/>
      <c r="E195" s="274"/>
      <c r="F195" s="275"/>
      <c r="G195" s="133"/>
      <c r="H195" s="133"/>
      <c r="I195" s="680" t="s">
        <v>261</v>
      </c>
      <c r="J195" s="680"/>
      <c r="K195" s="680"/>
      <c r="L195" s="276" t="s">
        <v>96</v>
      </c>
      <c r="M195" s="154"/>
      <c r="N195" s="154"/>
      <c r="O195" s="154"/>
      <c r="P195" s="680" t="s">
        <v>262</v>
      </c>
      <c r="Q195" s="680"/>
      <c r="R195" s="276" t="s">
        <v>96</v>
      </c>
      <c r="S195" s="154"/>
      <c r="T195" s="241"/>
      <c r="U195" s="133"/>
      <c r="V195" s="277"/>
      <c r="W195" s="242"/>
      <c r="X195" s="242"/>
      <c r="Y195" s="242"/>
      <c r="Z195" s="35"/>
    </row>
    <row r="196" spans="1:28" s="43" customFormat="1" x14ac:dyDescent="0.25">
      <c r="A196" s="271"/>
      <c r="B196" s="124"/>
      <c r="C196" s="273"/>
      <c r="D196" s="274"/>
      <c r="E196" s="274"/>
      <c r="F196" s="275"/>
      <c r="G196" s="133"/>
      <c r="H196" s="133"/>
      <c r="I196" s="133"/>
      <c r="J196" s="82"/>
      <c r="K196" s="278"/>
      <c r="L196" s="279"/>
      <c r="M196" s="154"/>
      <c r="N196" s="154"/>
      <c r="O196" s="154"/>
      <c r="P196" s="82"/>
      <c r="Q196" s="82"/>
      <c r="R196" s="82"/>
      <c r="S196" s="154"/>
      <c r="T196" s="241"/>
      <c r="U196" s="133"/>
      <c r="V196" s="277"/>
      <c r="W196" s="242"/>
      <c r="X196" s="242"/>
      <c r="Y196" s="242"/>
      <c r="Z196" s="35"/>
    </row>
    <row r="197" spans="1:28" s="43" customFormat="1" x14ac:dyDescent="0.25">
      <c r="A197" s="271"/>
      <c r="B197" s="280" t="s">
        <v>216</v>
      </c>
      <c r="C197" s="281"/>
      <c r="D197" s="281"/>
      <c r="E197" s="274"/>
      <c r="F197" s="275"/>
      <c r="G197" s="133"/>
      <c r="H197" s="283">
        <f>I198+I199+I200+I201+I202+I203+I204</f>
        <v>13493730.550889</v>
      </c>
      <c r="I197" s="276">
        <f>U193</f>
        <v>13493730.550889</v>
      </c>
      <c r="J197" s="86"/>
      <c r="K197" s="276">
        <v>100</v>
      </c>
      <c r="L197" s="154"/>
      <c r="M197" s="154"/>
      <c r="N197" s="154"/>
      <c r="O197" s="154"/>
      <c r="P197" s="86">
        <f>SUM(P203:Q204)</f>
        <v>6919783.6684080008</v>
      </c>
      <c r="Q197" s="86"/>
      <c r="R197" s="282">
        <v>100</v>
      </c>
      <c r="S197" s="154"/>
      <c r="T197" s="241"/>
      <c r="U197" s="133"/>
      <c r="V197" s="277"/>
      <c r="W197" s="242"/>
      <c r="X197" s="242"/>
      <c r="Y197" s="242"/>
      <c r="Z197" s="35"/>
    </row>
    <row r="198" spans="1:28" s="43" customFormat="1" x14ac:dyDescent="0.25">
      <c r="A198" s="271"/>
      <c r="B198" s="280" t="s">
        <v>217</v>
      </c>
      <c r="C198" s="281"/>
      <c r="D198" s="281"/>
      <c r="E198" s="274"/>
      <c r="F198" s="275"/>
      <c r="G198" s="133"/>
      <c r="H198" s="133"/>
      <c r="I198" s="276">
        <f>V32</f>
        <v>1171342.2825</v>
      </c>
      <c r="J198" s="86"/>
      <c r="K198" s="276">
        <f>I198*100/$I$197</f>
        <v>8.6806408211762385</v>
      </c>
      <c r="L198" s="154"/>
      <c r="M198" s="154"/>
      <c r="N198" s="154"/>
      <c r="O198" s="154"/>
      <c r="P198" s="82"/>
      <c r="Q198" s="82"/>
      <c r="R198" s="82"/>
      <c r="S198" s="154"/>
      <c r="T198" s="241"/>
      <c r="U198" s="133"/>
      <c r="V198" s="277"/>
      <c r="W198" s="242"/>
      <c r="X198" s="242"/>
      <c r="Y198" s="242"/>
      <c r="Z198" s="35"/>
    </row>
    <row r="199" spans="1:28" s="43" customFormat="1" x14ac:dyDescent="0.25">
      <c r="A199" s="271"/>
      <c r="B199" s="280" t="s">
        <v>218</v>
      </c>
      <c r="C199" s="281"/>
      <c r="D199" s="281"/>
      <c r="E199" s="274"/>
      <c r="F199" s="275"/>
      <c r="G199" s="133"/>
      <c r="H199" s="283">
        <f>V188+V49</f>
        <v>2322614.697656</v>
      </c>
      <c r="I199" s="276">
        <f>V175+V49+V187</f>
        <v>2322614.697656</v>
      </c>
      <c r="J199" s="86"/>
      <c r="K199" s="276">
        <f t="shared" ref="K199:K204" si="124">I199*100/$I$197</f>
        <v>17.212546885360627</v>
      </c>
      <c r="L199" s="154"/>
      <c r="M199" s="154"/>
      <c r="N199" s="154"/>
      <c r="O199" s="154"/>
      <c r="P199" s="82"/>
      <c r="Q199" s="82"/>
      <c r="R199" s="82"/>
      <c r="S199" s="154"/>
      <c r="T199" s="241"/>
      <c r="U199" s="133"/>
      <c r="V199" s="277"/>
      <c r="W199" s="242"/>
      <c r="X199" s="242"/>
      <c r="Y199" s="242"/>
      <c r="Z199" s="35"/>
    </row>
    <row r="200" spans="1:28" s="43" customFormat="1" x14ac:dyDescent="0.25">
      <c r="A200" s="271"/>
      <c r="B200" s="280" t="s">
        <v>222</v>
      </c>
      <c r="C200" s="281"/>
      <c r="D200" s="281"/>
      <c r="E200" s="274"/>
      <c r="F200" s="275"/>
      <c r="G200" s="133"/>
      <c r="H200" s="133"/>
      <c r="I200" s="276">
        <f>V160+V101+V93</f>
        <v>1906340.7645650001</v>
      </c>
      <c r="J200" s="86"/>
      <c r="K200" s="276">
        <f t="shared" si="124"/>
        <v>14.127603610992555</v>
      </c>
      <c r="L200" s="154"/>
      <c r="M200" s="154"/>
      <c r="N200" s="154"/>
      <c r="O200" s="154"/>
      <c r="P200" s="82"/>
      <c r="Q200" s="82"/>
      <c r="R200" s="82"/>
      <c r="S200" s="154"/>
      <c r="T200" s="241"/>
      <c r="U200" s="133"/>
      <c r="V200" s="277"/>
      <c r="W200" s="242"/>
      <c r="X200" s="242"/>
      <c r="Y200" s="242"/>
      <c r="Z200" s="35"/>
    </row>
    <row r="201" spans="1:28" s="43" customFormat="1" x14ac:dyDescent="0.25">
      <c r="A201" s="271"/>
      <c r="B201" s="280" t="s">
        <v>223</v>
      </c>
      <c r="C201" s="281"/>
      <c r="D201" s="281"/>
      <c r="E201" s="274"/>
      <c r="F201" s="275"/>
      <c r="G201" s="133"/>
      <c r="H201" s="133"/>
      <c r="I201" s="276">
        <f>V129+V136</f>
        <v>362352.94660000002</v>
      </c>
      <c r="J201" s="86"/>
      <c r="K201" s="276">
        <f t="shared" si="124"/>
        <v>2.6853429837912937</v>
      </c>
      <c r="L201" s="154"/>
      <c r="M201" s="154"/>
      <c r="N201" s="154"/>
      <c r="O201" s="154"/>
      <c r="P201" s="681"/>
      <c r="Q201" s="681"/>
      <c r="R201" s="284"/>
      <c r="S201" s="154"/>
      <c r="T201" s="241"/>
      <c r="U201" s="133"/>
      <c r="V201" s="277"/>
      <c r="W201" s="242"/>
      <c r="X201" s="242"/>
      <c r="Y201" s="242"/>
      <c r="Z201" s="35"/>
    </row>
    <row r="202" spans="1:28" s="43" customFormat="1" x14ac:dyDescent="0.25">
      <c r="A202" s="271"/>
      <c r="B202" s="280" t="s">
        <v>221</v>
      </c>
      <c r="C202" s="281"/>
      <c r="D202" s="281"/>
      <c r="E202" s="274"/>
      <c r="F202" s="275"/>
      <c r="G202" s="133"/>
      <c r="H202" s="133"/>
      <c r="I202" s="276">
        <f>V50</f>
        <v>811296.19116000005</v>
      </c>
      <c r="J202" s="86"/>
      <c r="K202" s="276">
        <f t="shared" si="124"/>
        <v>6.0123935934569994</v>
      </c>
      <c r="L202" s="154"/>
      <c r="M202" s="154"/>
      <c r="N202" s="154"/>
      <c r="O202" s="154"/>
      <c r="P202" s="681"/>
      <c r="Q202" s="681"/>
      <c r="R202" s="284"/>
      <c r="S202" s="154"/>
      <c r="T202" s="241"/>
      <c r="U202" s="133"/>
      <c r="V202" s="277"/>
      <c r="W202" s="242"/>
      <c r="X202" s="242"/>
      <c r="Y202" s="242"/>
      <c r="Z202" s="35"/>
    </row>
    <row r="203" spans="1:28" s="43" customFormat="1" x14ac:dyDescent="0.25">
      <c r="A203" s="271"/>
      <c r="B203" s="280" t="s">
        <v>219</v>
      </c>
      <c r="C203" s="281"/>
      <c r="D203" s="281"/>
      <c r="E203" s="274"/>
      <c r="F203" s="275"/>
      <c r="G203" s="133"/>
      <c r="H203" s="241"/>
      <c r="I203" s="276">
        <f>V167+V123+V94</f>
        <v>4657481.4023260009</v>
      </c>
      <c r="J203" s="86"/>
      <c r="K203" s="276">
        <f t="shared" si="124"/>
        <v>34.51589154504908</v>
      </c>
      <c r="L203" s="154"/>
      <c r="M203" s="154"/>
      <c r="N203" s="154"/>
      <c r="O203" s="154"/>
      <c r="P203" s="86">
        <f>I203</f>
        <v>4657481.4023260009</v>
      </c>
      <c r="Q203" s="86"/>
      <c r="R203" s="284">
        <v>72.467310308114818</v>
      </c>
      <c r="S203" s="154"/>
      <c r="T203" s="241"/>
      <c r="U203" s="133"/>
      <c r="V203" s="277"/>
      <c r="W203" s="242"/>
      <c r="X203" s="242"/>
      <c r="Y203" s="242"/>
      <c r="Z203" s="35"/>
    </row>
    <row r="204" spans="1:28" s="43" customFormat="1" ht="19.5" customHeight="1" x14ac:dyDescent="0.3">
      <c r="A204" s="271"/>
      <c r="B204" s="280" t="s">
        <v>220</v>
      </c>
      <c r="C204" s="280"/>
      <c r="D204" s="280"/>
      <c r="E204" s="274"/>
      <c r="F204" s="275"/>
      <c r="G204" s="133"/>
      <c r="H204" s="133"/>
      <c r="I204" s="276">
        <f>V131+V155</f>
        <v>2262302.266082</v>
      </c>
      <c r="J204" s="86"/>
      <c r="K204" s="276">
        <f t="shared" si="124"/>
        <v>16.765580560173213</v>
      </c>
      <c r="L204" s="154"/>
      <c r="M204" s="154"/>
      <c r="N204" s="154"/>
      <c r="O204" s="154"/>
      <c r="P204" s="86">
        <f>I204</f>
        <v>2262302.266082</v>
      </c>
      <c r="Q204" s="86"/>
      <c r="R204" s="284">
        <v>27.532689691885182</v>
      </c>
      <c r="S204" s="154"/>
      <c r="T204" s="241"/>
      <c r="U204" s="133"/>
      <c r="V204" s="277"/>
      <c r="W204" s="285"/>
      <c r="X204" s="285"/>
      <c r="Y204" s="285"/>
      <c r="Z204" s="45"/>
      <c r="AA204" s="46"/>
      <c r="AB204" s="47"/>
    </row>
    <row r="205" spans="1:28" s="43" customFormat="1" ht="18.75" x14ac:dyDescent="0.3">
      <c r="A205" s="271"/>
      <c r="B205" s="280" t="s">
        <v>233</v>
      </c>
      <c r="C205" s="273"/>
      <c r="D205" s="274"/>
      <c r="E205" s="274"/>
      <c r="F205" s="275"/>
      <c r="G205" s="133"/>
      <c r="H205" s="133"/>
      <c r="I205" s="133"/>
      <c r="J205" s="82"/>
      <c r="K205" s="276"/>
      <c r="L205" s="276"/>
      <c r="M205" s="154"/>
      <c r="N205" s="154"/>
      <c r="O205" s="154"/>
      <c r="P205" s="681"/>
      <c r="Q205" s="681"/>
      <c r="R205" s="284"/>
      <c r="S205" s="154"/>
      <c r="T205" s="241"/>
      <c r="U205" s="133"/>
      <c r="V205" s="241"/>
      <c r="W205" s="285"/>
      <c r="X205" s="285"/>
      <c r="Y205" s="285"/>
      <c r="Z205" s="45"/>
      <c r="AA205" s="46"/>
      <c r="AB205" s="47"/>
    </row>
    <row r="206" spans="1:28" s="43" customFormat="1" ht="16.5" customHeight="1" x14ac:dyDescent="0.3">
      <c r="A206" s="271"/>
      <c r="B206" s="280" t="s">
        <v>234</v>
      </c>
      <c r="C206" s="281"/>
      <c r="D206" s="281"/>
      <c r="E206" s="274"/>
      <c r="F206" s="275"/>
      <c r="G206" s="133"/>
      <c r="H206" s="133"/>
      <c r="I206" s="133"/>
      <c r="J206" s="75"/>
      <c r="K206" s="133"/>
      <c r="L206" s="133"/>
      <c r="M206" s="154"/>
      <c r="N206" s="154"/>
      <c r="O206" s="154"/>
      <c r="P206" s="86">
        <f>P203*R206/100</f>
        <v>4520199.6274550725</v>
      </c>
      <c r="Q206" s="86"/>
      <c r="R206" s="284">
        <v>97.052446096674302</v>
      </c>
      <c r="S206" s="286"/>
      <c r="T206" s="241"/>
      <c r="U206" s="133"/>
      <c r="V206" s="241"/>
      <c r="W206" s="285"/>
      <c r="X206" s="285"/>
      <c r="Y206" s="285"/>
      <c r="Z206" s="45"/>
      <c r="AA206" s="46"/>
      <c r="AB206" s="47"/>
    </row>
    <row r="207" spans="1:28" s="43" customFormat="1" ht="18.75" x14ac:dyDescent="0.3">
      <c r="A207" s="271"/>
      <c r="B207" s="280" t="s">
        <v>235</v>
      </c>
      <c r="C207" s="75"/>
      <c r="D207" s="75"/>
      <c r="E207" s="75"/>
      <c r="F207" s="75"/>
      <c r="G207" s="133"/>
      <c r="H207" s="133"/>
      <c r="I207" s="133"/>
      <c r="J207" s="75"/>
      <c r="K207" s="133"/>
      <c r="L207" s="133"/>
      <c r="M207" s="154"/>
      <c r="N207" s="154"/>
      <c r="O207" s="154"/>
      <c r="P207" s="86">
        <f>P203*R207/100</f>
        <v>137281.77487092864</v>
      </c>
      <c r="Q207" s="86"/>
      <c r="R207" s="553">
        <v>2.947553903325701</v>
      </c>
      <c r="S207" s="286"/>
      <c r="T207" s="241"/>
      <c r="U207" s="133"/>
      <c r="V207" s="241"/>
      <c r="W207" s="285"/>
      <c r="X207" s="285"/>
      <c r="Y207" s="285"/>
      <c r="Z207" s="45"/>
      <c r="AA207" s="46"/>
      <c r="AB207" s="47"/>
    </row>
    <row r="208" spans="1:28" s="43" customFormat="1" ht="18.75" x14ac:dyDescent="0.3">
      <c r="A208" s="271"/>
      <c r="B208" s="243"/>
      <c r="C208" s="75"/>
      <c r="D208" s="75"/>
      <c r="E208" s="75"/>
      <c r="F208" s="75"/>
      <c r="G208" s="133"/>
      <c r="H208" s="133"/>
      <c r="I208" s="133"/>
      <c r="J208" s="75"/>
      <c r="K208" s="133"/>
      <c r="L208" s="133"/>
      <c r="M208" s="154"/>
      <c r="N208" s="154"/>
      <c r="O208" s="154"/>
      <c r="P208" s="75">
        <v>137281.76999999999</v>
      </c>
      <c r="Q208" s="132">
        <f>SUM(P206:Q207)</f>
        <v>4657481.4023260009</v>
      </c>
      <c r="R208" s="154"/>
      <c r="S208" s="286"/>
      <c r="T208" s="241"/>
      <c r="U208" s="133"/>
      <c r="V208" s="241"/>
      <c r="W208" s="285"/>
      <c r="X208" s="285"/>
      <c r="Y208" s="285"/>
      <c r="Z208" s="45"/>
      <c r="AA208" s="46"/>
      <c r="AB208" s="47"/>
    </row>
    <row r="209" spans="1:28" s="43" customFormat="1" ht="18.75" x14ac:dyDescent="0.3">
      <c r="A209" s="271"/>
      <c r="B209" s="243"/>
      <c r="C209" s="75"/>
      <c r="D209" s="75"/>
      <c r="E209" s="75"/>
      <c r="F209" s="75"/>
      <c r="G209" s="133"/>
      <c r="H209" s="133"/>
      <c r="I209" s="133"/>
      <c r="J209" s="75"/>
      <c r="K209" s="133"/>
      <c r="L209" s="133"/>
      <c r="M209" s="154"/>
      <c r="N209" s="154"/>
      <c r="O209" s="154"/>
      <c r="P209" s="75"/>
      <c r="Q209" s="75"/>
      <c r="R209" s="154"/>
      <c r="S209" s="286"/>
      <c r="T209" s="241"/>
      <c r="U209" s="133"/>
      <c r="V209" s="241"/>
      <c r="W209" s="285"/>
      <c r="X209" s="285"/>
      <c r="Y209" s="285"/>
      <c r="Z209" s="45"/>
      <c r="AA209" s="46"/>
      <c r="AB209" s="47"/>
    </row>
    <row r="210" spans="1:28" s="43" customFormat="1" ht="18.75" x14ac:dyDescent="0.3">
      <c r="A210" s="271"/>
      <c r="B210" s="243"/>
      <c r="C210" s="75"/>
      <c r="D210" s="75"/>
      <c r="E210" s="75"/>
      <c r="F210" s="75"/>
      <c r="G210" s="133"/>
      <c r="H210" s="133"/>
      <c r="I210" s="133"/>
      <c r="J210" s="75"/>
      <c r="K210" s="133"/>
      <c r="L210" s="133"/>
      <c r="M210" s="154"/>
      <c r="N210" s="154"/>
      <c r="O210" s="154"/>
      <c r="P210" s="75"/>
      <c r="Q210" s="75"/>
      <c r="R210" s="154"/>
      <c r="S210" s="286"/>
      <c r="T210" s="241"/>
      <c r="U210" s="133"/>
      <c r="V210" s="241"/>
      <c r="W210" s="285"/>
      <c r="X210" s="285"/>
      <c r="Y210" s="285"/>
      <c r="Z210" s="45"/>
      <c r="AA210" s="46"/>
      <c r="AB210" s="47"/>
    </row>
    <row r="211" spans="1:28" s="43" customFormat="1" ht="18.75" x14ac:dyDescent="0.3">
      <c r="A211" s="271"/>
      <c r="B211" s="243" t="s">
        <v>228</v>
      </c>
      <c r="C211" s="75"/>
      <c r="D211" s="75"/>
      <c r="E211" s="75"/>
      <c r="F211" s="75"/>
      <c r="G211" s="133"/>
      <c r="H211" s="133"/>
      <c r="I211" s="133" t="s">
        <v>271</v>
      </c>
      <c r="J211" s="75"/>
      <c r="K211" s="133"/>
      <c r="L211" s="133"/>
      <c r="M211" s="154"/>
      <c r="N211" s="154"/>
      <c r="O211" s="154"/>
      <c r="P211" s="75"/>
      <c r="Q211" s="75"/>
      <c r="R211" s="154"/>
      <c r="S211" s="286"/>
      <c r="T211" s="241"/>
      <c r="U211" s="133"/>
      <c r="V211" s="241"/>
      <c r="W211" s="285"/>
      <c r="X211" s="285"/>
      <c r="Y211" s="285"/>
      <c r="Z211" s="45"/>
      <c r="AA211" s="46"/>
      <c r="AB211" s="47"/>
    </row>
    <row r="212" spans="1:28" s="43" customFormat="1" ht="18.75" x14ac:dyDescent="0.3">
      <c r="A212" s="271"/>
      <c r="B212" s="243"/>
      <c r="C212" s="75"/>
      <c r="D212" s="75"/>
      <c r="E212" s="75"/>
      <c r="F212" s="75"/>
      <c r="G212" s="133"/>
      <c r="H212" s="133"/>
      <c r="I212" s="133"/>
      <c r="J212" s="75"/>
      <c r="K212" s="133"/>
      <c r="L212" s="133"/>
      <c r="M212" s="154"/>
      <c r="N212" s="154"/>
      <c r="O212" s="154"/>
      <c r="P212" s="75"/>
      <c r="Q212" s="75"/>
      <c r="R212" s="154"/>
      <c r="S212" s="286"/>
      <c r="T212" s="241"/>
      <c r="U212" s="133"/>
      <c r="V212" s="241"/>
      <c r="W212" s="285"/>
      <c r="X212" s="285"/>
      <c r="Y212" s="285"/>
      <c r="Z212" s="45"/>
      <c r="AA212" s="46"/>
      <c r="AB212" s="47"/>
    </row>
    <row r="213" spans="1:28" ht="18.75" x14ac:dyDescent="0.3">
      <c r="S213" s="286"/>
      <c r="W213" s="285"/>
      <c r="X213" s="285"/>
      <c r="Y213" s="285"/>
      <c r="Z213" s="6"/>
      <c r="AA213" s="19"/>
      <c r="AB213" s="20"/>
    </row>
    <row r="214" spans="1:28" ht="12.75" customHeight="1" x14ac:dyDescent="0.3">
      <c r="S214" s="286"/>
      <c r="W214" s="285"/>
      <c r="X214" s="285"/>
      <c r="Y214" s="285"/>
      <c r="Z214" s="6"/>
      <c r="AA214" s="19"/>
      <c r="AB214" s="20"/>
    </row>
    <row r="215" spans="1:28" ht="12.75" customHeight="1" x14ac:dyDescent="0.3">
      <c r="S215" s="286"/>
      <c r="W215" s="285"/>
      <c r="X215" s="285"/>
      <c r="Y215" s="285"/>
      <c r="Z215" s="6"/>
      <c r="AA215" s="19"/>
      <c r="AB215" s="20"/>
    </row>
    <row r="216" spans="1:28" ht="8.25" customHeight="1" x14ac:dyDescent="0.3">
      <c r="S216" s="286"/>
      <c r="W216" s="285"/>
      <c r="X216" s="285"/>
      <c r="Y216" s="285"/>
      <c r="Z216" s="6"/>
      <c r="AA216" s="19"/>
      <c r="AB216" s="20"/>
    </row>
    <row r="217" spans="1:28" ht="12.75" hidden="1" customHeight="1" x14ac:dyDescent="0.3">
      <c r="S217" s="286"/>
      <c r="W217" s="285"/>
      <c r="X217" s="285"/>
      <c r="Y217" s="285"/>
      <c r="Z217" s="6"/>
      <c r="AA217" s="19"/>
      <c r="AB217" s="20"/>
    </row>
    <row r="218" spans="1:28" ht="17.25" customHeight="1" x14ac:dyDescent="0.3">
      <c r="S218" s="286"/>
      <c r="W218" s="285"/>
      <c r="X218" s="285"/>
      <c r="Y218" s="285"/>
      <c r="Z218" s="6"/>
      <c r="AA218" s="19"/>
      <c r="AB218" s="20"/>
    </row>
    <row r="219" spans="1:28" ht="18" customHeight="1" x14ac:dyDescent="0.3">
      <c r="S219" s="286"/>
      <c r="W219" s="285"/>
      <c r="X219" s="285"/>
      <c r="Y219" s="285"/>
      <c r="Z219" s="6"/>
      <c r="AA219" s="19"/>
      <c r="AB219" s="20"/>
    </row>
    <row r="220" spans="1:28" ht="18.75" x14ac:dyDescent="0.3">
      <c r="S220" s="286"/>
      <c r="W220" s="285"/>
      <c r="X220" s="285"/>
      <c r="Y220" s="285"/>
      <c r="Z220" s="6"/>
      <c r="AA220" s="19"/>
      <c r="AB220" s="20"/>
    </row>
    <row r="221" spans="1:28" ht="18.75" x14ac:dyDescent="0.3">
      <c r="S221" s="286"/>
      <c r="W221" s="285"/>
      <c r="X221" s="285"/>
      <c r="Y221" s="285"/>
      <c r="Z221" s="6"/>
      <c r="AA221" s="19"/>
      <c r="AB221" s="20"/>
    </row>
    <row r="222" spans="1:28" ht="18.75" x14ac:dyDescent="0.3">
      <c r="S222" s="286"/>
      <c r="W222" s="285"/>
      <c r="X222" s="285"/>
      <c r="Y222" s="285"/>
      <c r="Z222" s="6"/>
      <c r="AA222" s="19"/>
      <c r="AB222" s="20"/>
    </row>
    <row r="223" spans="1:28" ht="45.75" customHeight="1" x14ac:dyDescent="0.3">
      <c r="S223" s="286"/>
      <c r="W223" s="285"/>
      <c r="X223" s="285"/>
      <c r="Y223" s="285"/>
      <c r="Z223" s="6"/>
      <c r="AA223" s="19"/>
      <c r="AB223" s="20"/>
    </row>
    <row r="224" spans="1:28" s="24" customFormat="1" ht="18" customHeight="1" x14ac:dyDescent="0.25">
      <c r="A224" s="287"/>
      <c r="B224" s="288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289"/>
      <c r="N224" s="289"/>
      <c r="O224" s="289"/>
      <c r="P224" s="133"/>
      <c r="Q224" s="133"/>
      <c r="R224" s="289"/>
      <c r="S224" s="289"/>
      <c r="T224" s="241"/>
      <c r="U224" s="133"/>
      <c r="V224" s="241"/>
      <c r="W224" s="290"/>
      <c r="X224" s="290"/>
      <c r="Y224" s="290"/>
      <c r="Z224" s="12"/>
      <c r="AA224" s="23"/>
      <c r="AB224" s="22"/>
    </row>
    <row r="225" spans="1:28" s="24" customFormat="1" ht="18" customHeight="1" x14ac:dyDescent="0.25">
      <c r="A225" s="287"/>
      <c r="B225" s="288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289"/>
      <c r="N225" s="289"/>
      <c r="O225" s="289"/>
      <c r="P225" s="133"/>
      <c r="Q225" s="133"/>
      <c r="R225" s="289"/>
      <c r="S225" s="289"/>
      <c r="T225" s="241"/>
      <c r="U225" s="133"/>
      <c r="V225" s="241"/>
      <c r="W225" s="290"/>
      <c r="X225" s="290"/>
      <c r="Y225" s="290"/>
      <c r="Z225" s="12"/>
      <c r="AA225" s="23"/>
      <c r="AB225" s="22"/>
    </row>
    <row r="226" spans="1:28" s="24" customFormat="1" ht="6" customHeight="1" x14ac:dyDescent="0.25">
      <c r="A226" s="287"/>
      <c r="B226" s="288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289"/>
      <c r="N226" s="289"/>
      <c r="O226" s="289"/>
      <c r="P226" s="133"/>
      <c r="Q226" s="133"/>
      <c r="R226" s="289"/>
      <c r="S226" s="289"/>
      <c r="T226" s="241"/>
      <c r="U226" s="133"/>
      <c r="V226" s="241"/>
      <c r="W226" s="290"/>
      <c r="X226" s="290"/>
      <c r="Y226" s="290"/>
      <c r="Z226" s="12"/>
      <c r="AA226" s="23"/>
      <c r="AB226" s="22"/>
    </row>
    <row r="227" spans="1:28" ht="16.5" customHeight="1" x14ac:dyDescent="0.3">
      <c r="S227" s="286"/>
      <c r="W227" s="285"/>
      <c r="X227" s="285"/>
      <c r="Y227" s="285"/>
      <c r="Z227" s="6"/>
      <c r="AA227" s="19"/>
      <c r="AB227" s="20"/>
    </row>
    <row r="228" spans="1:28" ht="18.75" customHeight="1" x14ac:dyDescent="0.3">
      <c r="S228" s="286"/>
      <c r="W228" s="285"/>
      <c r="X228" s="285"/>
      <c r="Y228" s="285"/>
      <c r="Z228" s="6"/>
      <c r="AA228" s="19"/>
      <c r="AB228" s="20"/>
    </row>
  </sheetData>
  <mergeCells count="31">
    <mergeCell ref="U192:V192"/>
    <mergeCell ref="B33:G33"/>
    <mergeCell ref="B52:H52"/>
    <mergeCell ref="B96:H96"/>
    <mergeCell ref="B125:I125"/>
    <mergeCell ref="B133:D133"/>
    <mergeCell ref="B16:G16"/>
    <mergeCell ref="G10:K10"/>
    <mergeCell ref="J14:O14"/>
    <mergeCell ref="P195:Q195"/>
    <mergeCell ref="P205:Q205"/>
    <mergeCell ref="H14:H15"/>
    <mergeCell ref="I195:K195"/>
    <mergeCell ref="P201:Q201"/>
    <mergeCell ref="P202:Q202"/>
    <mergeCell ref="A11:U11"/>
    <mergeCell ref="A12:H12"/>
    <mergeCell ref="A13:H13"/>
    <mergeCell ref="A14:A15"/>
    <mergeCell ref="B14:B15"/>
    <mergeCell ref="C14:C15"/>
    <mergeCell ref="D14:D15"/>
    <mergeCell ref="G8:K8"/>
    <mergeCell ref="P14:S14"/>
    <mergeCell ref="T14:T15"/>
    <mergeCell ref="G14:G15"/>
    <mergeCell ref="V14:V15"/>
    <mergeCell ref="U14:U15"/>
    <mergeCell ref="E9:P9"/>
    <mergeCell ref="I14:I15"/>
    <mergeCell ref="E14:F14"/>
  </mergeCells>
  <pageMargins left="0.15748031496062992" right="0" top="0.78740157480314965" bottom="0.15748031496062992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водопостачання тех</vt:lpstr>
      <vt:lpstr>погодження ШР на 2023 рік</vt:lpstr>
      <vt:lpstr>зарплата 1-6</vt:lpstr>
      <vt:lpstr>зарплата 7-11</vt:lpstr>
      <vt:lpstr>'водопостачання тех'!Область_печати</vt:lpstr>
      <vt:lpstr>'зарплата 1-6'!Область_печати</vt:lpstr>
      <vt:lpstr>'зарплата 7-11'!Область_печати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2023-07-25T05:59:42Z</cp:lastPrinted>
  <dcterms:created xsi:type="dcterms:W3CDTF">2019-10-28T13:59:33Z</dcterms:created>
  <dcterms:modified xsi:type="dcterms:W3CDTF">2023-07-25T06:12:54Z</dcterms:modified>
</cp:coreProperties>
</file>